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smtt\Public\מטה PMO\מכרזים ותיחורים רגילים\2022\מכרז 918-2022 למערכת דימות RIS\"/>
    </mc:Choice>
  </mc:AlternateContent>
  <bookViews>
    <workbookView xWindow="0" yWindow="0" windowWidth="28800" windowHeight="12480" firstSheet="1" activeTab="1"/>
  </bookViews>
  <sheets>
    <sheet name="תיק קליני" sheetId="1" state="hidden" r:id="rId1"/>
    <sheet name="דימות - הצעה כלכלית" sheetId="7" r:id="rId2"/>
  </sheets>
  <definedNames>
    <definedName name="_xlnm.Print_Area" localSheetId="1">'דימות - הצעה כלכלית'!$A$1:$F$58</definedName>
    <definedName name="_xlnm.Print_Area" localSheetId="0">'תיק קליני'!$A$1:$F$150</definedName>
    <definedName name="_xlnm.Print_Titles" localSheetId="0">'תיק קליני'!$1:$3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8" i="7" l="1"/>
  <c r="F43" i="7" l="1"/>
  <c r="E57" i="7"/>
  <c r="E56" i="7"/>
  <c r="E55" i="7"/>
  <c r="E54" i="7"/>
  <c r="E53" i="7"/>
  <c r="E49" i="7"/>
  <c r="E50" i="7"/>
  <c r="E52" i="7"/>
  <c r="E51" i="7"/>
  <c r="F6" i="7"/>
  <c r="F5" i="7"/>
  <c r="F9" i="7"/>
  <c r="F23" i="7"/>
  <c r="F24" i="7"/>
  <c r="F25" i="7"/>
  <c r="F26" i="7"/>
  <c r="F27" i="7"/>
  <c r="F28" i="7"/>
  <c r="F29" i="7"/>
  <c r="F22" i="7"/>
  <c r="F36" i="7"/>
  <c r="F37" i="7"/>
  <c r="F38" i="7"/>
  <c r="F39" i="7"/>
  <c r="F40" i="7"/>
  <c r="F41" i="7"/>
  <c r="F35" i="7"/>
  <c r="F10" i="7"/>
  <c r="F11" i="7"/>
  <c r="F12" i="7"/>
  <c r="F13" i="7"/>
  <c r="F14" i="7"/>
  <c r="F15" i="7"/>
  <c r="F17" i="7" l="1"/>
  <c r="F31" i="7"/>
  <c r="F42" i="7"/>
  <c r="E58" i="7"/>
  <c r="F61" i="7" s="1"/>
  <c r="L26" i="1" l="1"/>
  <c r="K149" i="1"/>
  <c r="L149" i="1" s="1"/>
  <c r="K148" i="1"/>
  <c r="L148" i="1" s="1"/>
  <c r="K147" i="1"/>
  <c r="L147" i="1" s="1"/>
  <c r="K146" i="1"/>
  <c r="L146" i="1" s="1"/>
  <c r="K145" i="1"/>
  <c r="L145" i="1" s="1"/>
  <c r="K144" i="1"/>
  <c r="L144" i="1" s="1"/>
  <c r="K143" i="1"/>
  <c r="L143" i="1" s="1"/>
  <c r="K142" i="1"/>
  <c r="L142" i="1" s="1"/>
  <c r="K141" i="1"/>
  <c r="L141" i="1" s="1"/>
  <c r="K140" i="1"/>
  <c r="L140" i="1" s="1"/>
  <c r="K139" i="1"/>
  <c r="L139" i="1" s="1"/>
  <c r="L137" i="1"/>
  <c r="L136" i="1"/>
  <c r="L135" i="1"/>
  <c r="L134" i="1"/>
  <c r="L133" i="1"/>
  <c r="K132" i="1"/>
  <c r="L132" i="1" s="1"/>
  <c r="K131" i="1"/>
  <c r="L131" i="1" s="1"/>
  <c r="K130" i="1"/>
  <c r="L130" i="1" s="1"/>
  <c r="K128" i="1"/>
  <c r="L128" i="1" s="1"/>
  <c r="K127" i="1"/>
  <c r="L127" i="1" s="1"/>
  <c r="K126" i="1"/>
  <c r="L126" i="1" s="1"/>
  <c r="K124" i="1"/>
  <c r="L124" i="1" s="1"/>
  <c r="K123" i="1"/>
  <c r="L123" i="1" s="1"/>
  <c r="K122" i="1"/>
  <c r="L122" i="1" s="1"/>
  <c r="K120" i="1"/>
  <c r="L120" i="1" s="1"/>
  <c r="K119" i="1"/>
  <c r="L119" i="1" s="1"/>
  <c r="K118" i="1"/>
  <c r="L118" i="1" s="1"/>
  <c r="K117" i="1"/>
  <c r="L117" i="1" s="1"/>
  <c r="K116" i="1"/>
  <c r="L116" i="1" s="1"/>
  <c r="K115" i="1"/>
  <c r="L115" i="1" s="1"/>
  <c r="L114" i="1"/>
  <c r="K113" i="1"/>
  <c r="L113" i="1" s="1"/>
  <c r="K111" i="1"/>
  <c r="L111" i="1" s="1"/>
  <c r="K110" i="1"/>
  <c r="L110" i="1" s="1"/>
  <c r="K109" i="1"/>
  <c r="L109" i="1" s="1"/>
  <c r="K108" i="1"/>
  <c r="L108" i="1" s="1"/>
  <c r="K107" i="1"/>
  <c r="L107" i="1" s="1"/>
  <c r="K106" i="1"/>
  <c r="L106" i="1" s="1"/>
  <c r="L105" i="1"/>
  <c r="K104" i="1"/>
  <c r="L104" i="1" s="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8" i="1"/>
  <c r="L67" i="1"/>
  <c r="L66" i="1"/>
  <c r="L65" i="1"/>
  <c r="L64" i="1"/>
  <c r="K61" i="1"/>
  <c r="L61" i="1" s="1"/>
  <c r="K60" i="1"/>
  <c r="L60" i="1" s="1"/>
  <c r="K59" i="1"/>
  <c r="L59" i="1" s="1"/>
  <c r="K58" i="1"/>
  <c r="L58" i="1" s="1"/>
  <c r="K57" i="1"/>
  <c r="L57" i="1" s="1"/>
  <c r="K56" i="1"/>
  <c r="L56" i="1" s="1"/>
  <c r="L55" i="1"/>
  <c r="K54" i="1"/>
  <c r="L54" i="1" s="1"/>
  <c r="L52" i="1"/>
  <c r="L51" i="1"/>
  <c r="L50" i="1"/>
  <c r="L49" i="1"/>
  <c r="L48" i="1"/>
  <c r="L47" i="1"/>
  <c r="L46" i="1"/>
  <c r="L45" i="1"/>
  <c r="K43" i="1"/>
  <c r="L43" i="1" s="1"/>
  <c r="K42" i="1"/>
  <c r="L42" i="1" s="1"/>
  <c r="K41" i="1"/>
  <c r="L41" i="1" s="1"/>
  <c r="K40" i="1"/>
  <c r="L40" i="1" s="1"/>
  <c r="K39" i="1"/>
  <c r="L39" i="1" s="1"/>
  <c r="K26" i="1"/>
  <c r="K4" i="1" s="1"/>
  <c r="L4" i="1" s="1"/>
  <c r="L129" i="1" l="1"/>
  <c r="L44" i="1"/>
  <c r="L125" i="1"/>
  <c r="L53" i="1"/>
  <c r="L103" i="1"/>
  <c r="L112" i="1"/>
  <c r="L63" i="1"/>
  <c r="L62" i="1" s="1"/>
  <c r="L38" i="1"/>
  <c r="L121" i="1"/>
  <c r="L150" i="1" l="1"/>
  <c r="E56" i="1" l="1"/>
  <c r="F74" i="1" l="1"/>
  <c r="E61" i="1"/>
  <c r="E140" i="1"/>
  <c r="E141" i="1"/>
  <c r="E142" i="1"/>
  <c r="E143" i="1"/>
  <c r="E144" i="1"/>
  <c r="E145" i="1"/>
  <c r="E146" i="1"/>
  <c r="E147" i="1"/>
  <c r="E148" i="1"/>
  <c r="E149" i="1"/>
  <c r="E139" i="1"/>
  <c r="F134" i="1"/>
  <c r="E132" i="1" l="1"/>
  <c r="E131" i="1"/>
  <c r="E130" i="1"/>
  <c r="E128" i="1"/>
  <c r="E127" i="1"/>
  <c r="E126" i="1"/>
  <c r="E124" i="1"/>
  <c r="E122" i="1"/>
  <c r="E123" i="1"/>
  <c r="E120" i="1"/>
  <c r="E119" i="1"/>
  <c r="E118" i="1"/>
  <c r="E117" i="1"/>
  <c r="E116" i="1"/>
  <c r="E115" i="1"/>
  <c r="E113" i="1"/>
  <c r="E43" i="1"/>
  <c r="E42" i="1"/>
  <c r="E41" i="1"/>
  <c r="E40" i="1"/>
  <c r="E39" i="1"/>
  <c r="F39" i="1" s="1"/>
  <c r="E57" i="1"/>
  <c r="E54" i="1"/>
  <c r="E26" i="1"/>
  <c r="F26" i="1" s="1"/>
  <c r="E5" i="1"/>
  <c r="E60" i="1"/>
  <c r="E59" i="1"/>
  <c r="E58" i="1"/>
  <c r="F98" i="1"/>
  <c r="F93" i="1"/>
  <c r="F88" i="1"/>
  <c r="F83" i="1"/>
  <c r="F78" i="1"/>
  <c r="F68" i="1"/>
  <c r="F73" i="1"/>
  <c r="E111" i="1"/>
  <c r="E110" i="1"/>
  <c r="E108" i="1"/>
  <c r="P108" i="1"/>
  <c r="E109" i="1" s="1"/>
  <c r="O108" i="1"/>
  <c r="E107" i="1" s="1"/>
  <c r="N108" i="1"/>
  <c r="E104" i="1" s="1"/>
  <c r="E106" i="1" l="1"/>
  <c r="F114" i="1" l="1"/>
  <c r="F113" i="1"/>
  <c r="F118" i="1"/>
  <c r="F120" i="1"/>
  <c r="F119" i="1"/>
  <c r="F117" i="1"/>
  <c r="F116" i="1"/>
  <c r="F115" i="1"/>
  <c r="F55" i="1" l="1"/>
  <c r="F56" i="1"/>
  <c r="F57" i="1"/>
  <c r="F97" i="1"/>
  <c r="F96" i="1"/>
  <c r="F95" i="1"/>
  <c r="F94" i="1"/>
  <c r="F87" i="1"/>
  <c r="F86" i="1"/>
  <c r="F85" i="1"/>
  <c r="F84" i="1"/>
  <c r="F89" i="1"/>
  <c r="F90" i="1"/>
  <c r="F91" i="1"/>
  <c r="F92" i="1"/>
  <c r="F79" i="1"/>
  <c r="F80" i="1"/>
  <c r="F81" i="1"/>
  <c r="F82" i="1"/>
  <c r="F109" i="1"/>
  <c r="F108" i="1"/>
  <c r="F107" i="1"/>
  <c r="F106" i="1"/>
  <c r="F51" i="1"/>
  <c r="F48" i="1"/>
  <c r="F105" i="1" l="1"/>
  <c r="F67" i="1"/>
  <c r="F66" i="1"/>
  <c r="F65" i="1"/>
  <c r="F64" i="1"/>
  <c r="F46" i="1"/>
  <c r="F104" i="1"/>
  <c r="F63" i="1" l="1"/>
  <c r="F77" i="1"/>
  <c r="F76" i="1"/>
  <c r="F75" i="1"/>
  <c r="F102" i="1"/>
  <c r="F101" i="1"/>
  <c r="F100" i="1"/>
  <c r="F99" i="1"/>
  <c r="F70" i="1"/>
  <c r="F71" i="1"/>
  <c r="F72" i="1"/>
  <c r="F54" i="1"/>
  <c r="F45" i="1"/>
  <c r="F58" i="1"/>
  <c r="F61" i="1"/>
  <c r="F60" i="1"/>
  <c r="F59" i="1"/>
  <c r="F110" i="1"/>
  <c r="F111" i="1"/>
  <c r="F103" i="1" l="1"/>
  <c r="F112" i="1"/>
  <c r="F53" i="1"/>
  <c r="F62" i="1"/>
  <c r="F40" i="1"/>
  <c r="F41" i="1"/>
  <c r="F42" i="1"/>
  <c r="F43" i="1"/>
  <c r="F38" i="1" l="1"/>
  <c r="F133" i="1"/>
  <c r="F131" i="1" l="1"/>
  <c r="F132" i="1"/>
  <c r="F130" i="1"/>
  <c r="F123" i="1"/>
  <c r="F124" i="1"/>
  <c r="F122" i="1"/>
  <c r="F127" i="1"/>
  <c r="F128" i="1"/>
  <c r="F126" i="1"/>
  <c r="F121" i="1" l="1"/>
  <c r="F140" i="1" l="1"/>
  <c r="F141" i="1"/>
  <c r="F142" i="1"/>
  <c r="F143" i="1"/>
  <c r="F144" i="1"/>
  <c r="F145" i="1"/>
  <c r="F146" i="1"/>
  <c r="F147" i="1"/>
  <c r="F148" i="1"/>
  <c r="F149" i="1"/>
  <c r="F139" i="1"/>
  <c r="F129" i="1"/>
  <c r="F125" i="1"/>
  <c r="F137" i="1"/>
  <c r="F136" i="1"/>
  <c r="F135" i="1"/>
  <c r="F50" i="1"/>
  <c r="F52" i="1"/>
  <c r="F47" i="1"/>
  <c r="F49" i="1"/>
  <c r="E4" i="1"/>
  <c r="F4" i="1" s="1"/>
  <c r="F44" i="1" l="1"/>
  <c r="F150" i="1" s="1"/>
</calcChain>
</file>

<file path=xl/comments1.xml><?xml version="1.0" encoding="utf-8"?>
<comments xmlns="http://schemas.openxmlformats.org/spreadsheetml/2006/main">
  <authors>
    <author>ידין פרץ</author>
  </authors>
  <commentList>
    <comment ref="F112" authorId="0" shapeId="0">
      <text>
        <r>
          <rPr>
            <b/>
            <sz val="8"/>
            <color indexed="81"/>
            <rFont val="Tahoma"/>
            <family val="2"/>
          </rPr>
          <t>ידין פרץ:</t>
        </r>
      </text>
    </comment>
    <comment ref="L112" authorId="0" shapeId="0">
      <text>
        <r>
          <rPr>
            <b/>
            <sz val="8"/>
            <color indexed="81"/>
            <rFont val="Tahoma"/>
            <family val="2"/>
          </rPr>
          <t>ידין פרץ:</t>
        </r>
      </text>
    </comment>
  </commentList>
</comments>
</file>

<file path=xl/sharedStrings.xml><?xml version="1.0" encoding="utf-8"?>
<sst xmlns="http://schemas.openxmlformats.org/spreadsheetml/2006/main" count="293" uniqueCount="196">
  <si>
    <t>משקל משוקלל</t>
  </si>
  <si>
    <t>מחיר</t>
  </si>
  <si>
    <t>משוקלל מכפיל</t>
  </si>
  <si>
    <t>FIX COST</t>
  </si>
  <si>
    <t>עלות הקמה (סה"כ)</t>
  </si>
  <si>
    <t>גורמי סיכון ורגישויות</t>
  </si>
  <si>
    <t>אבחנות ופרוצדורות</t>
  </si>
  <si>
    <t xml:space="preserve">תרופות </t>
  </si>
  <si>
    <t>שינוע</t>
  </si>
  <si>
    <t>הוראות קליניות</t>
  </si>
  <si>
    <t>סימנים חיוניים</t>
  </si>
  <si>
    <t>היסטורית טיפול</t>
  </si>
  <si>
    <t>אנמנזה</t>
  </si>
  <si>
    <t>מאזן נוזלים</t>
  </si>
  <si>
    <t>דיווח ובקרת אומדים</t>
  </si>
  <si>
    <t>בדיקות מעבדה</t>
  </si>
  <si>
    <t>בדיקות דימות מרפאות ומכונים</t>
  </si>
  <si>
    <t>ניהול ייעוצים</t>
  </si>
  <si>
    <t>מעקב שוטף</t>
  </si>
  <si>
    <t>חתימה</t>
  </si>
  <si>
    <t>התראות והערות</t>
  </si>
  <si>
    <t>ניהול מסמכים</t>
  </si>
  <si>
    <t>שילוב תמונות וציורים</t>
  </si>
  <si>
    <t>מבט מהיר על מטופל/תמצית תיק</t>
  </si>
  <si>
    <t>תצוגת מצב חולה (קרדקס)</t>
  </si>
  <si>
    <t>סקירת תיקים</t>
  </si>
  <si>
    <t>עלות צוות פרוייקט קבוע במשרה מלאה עלות שנתית:</t>
  </si>
  <si>
    <t>עלות פיתוח ממשק חדש</t>
  </si>
  <si>
    <t>עלות התאמת ממשק קיים</t>
  </si>
  <si>
    <t>עלות פיתוח דו"ח תפעולי</t>
  </si>
  <si>
    <t>קורס הכשרת מיישמים-מומחים</t>
  </si>
  <si>
    <t>הכנת תוכנית הדרכה והטמעה</t>
  </si>
  <si>
    <t>קורס הדרכת מטמיעים</t>
  </si>
  <si>
    <t>עלויות פיתוח עתידי</t>
  </si>
  <si>
    <t>תעריף גג</t>
  </si>
  <si>
    <t>מדריך / מטמיע</t>
  </si>
  <si>
    <t>מומחה בכיר להדרכה</t>
  </si>
  <si>
    <t>אחראי תפעול והטמעה</t>
  </si>
  <si>
    <t>מטמיע בכיר</t>
  </si>
  <si>
    <t>מטמיע זוטר</t>
  </si>
  <si>
    <t>מנהל פרויקט</t>
  </si>
  <si>
    <t>מפתח תוכנה</t>
  </si>
  <si>
    <t>מבקר איכות QA</t>
  </si>
  <si>
    <t>מידען/ עורך</t>
  </si>
  <si>
    <t>מעצב גרפי</t>
  </si>
  <si>
    <t>איש סיוע ותמיכה</t>
  </si>
  <si>
    <t>סה"כ עלות</t>
  </si>
  <si>
    <t>ממשק פשוט</t>
  </si>
  <si>
    <t>ממשק בינוני</t>
  </si>
  <si>
    <t>ממשק מורכב</t>
  </si>
  <si>
    <t>דו"ח פשוט</t>
  </si>
  <si>
    <t>דו"ח בינוני</t>
  </si>
  <si>
    <t>דו"ח מורכב</t>
  </si>
  <si>
    <t>הצעת המחיר</t>
  </si>
  <si>
    <t>ביה"ח זעיר</t>
  </si>
  <si>
    <t>עלויות רישוי</t>
  </si>
  <si>
    <t>עלויות תחזוקה שנתיות</t>
  </si>
  <si>
    <t>3*20</t>
  </si>
  <si>
    <t>5*20</t>
  </si>
  <si>
    <t>סה"כ</t>
  </si>
  <si>
    <t>קורס הכשרת help desk</t>
  </si>
  <si>
    <t>קורס הדרכת system</t>
  </si>
  <si>
    <t>       מנהל הפרויקט</t>
  </si>
  <si>
    <t>    מיישם בכיר</t>
  </si>
  <si>
    <t>ראש צוות פיתוח</t>
  </si>
  <si>
    <t>    מיישמים</t>
  </si>
  <si>
    <t>   מפתחים</t>
  </si>
  <si>
    <t>רישיונות צד' ג' - DB, מערכות הפעלה וכד'</t>
  </si>
  <si>
    <t>רכש חומרה (שרתים וכד')</t>
  </si>
  <si>
    <t>...</t>
  </si>
  <si>
    <t>עלות עקיפות</t>
  </si>
  <si>
    <t>טופס הצעת מחיר עבור מכרז100-2016  אשכול התיק רפואי ממוחשב</t>
  </si>
  <si>
    <t>עלות תחזוקת  סה"כ תיק רפואי ממוחשב לאתר (ללא דימות ואונקולוגיה)</t>
  </si>
  <si>
    <t>עלות התקנה חד פעמית</t>
  </si>
  <si>
    <t>עלות צוות קבוע</t>
  </si>
  <si>
    <t>עלות רישוי, התקנה ראשונה ועקיפות סה"כ לאתר לאשכול תיק רפואי ממוחשב (ללא דימות ואונקולוגיה)</t>
  </si>
  <si>
    <t>עלות התקנה</t>
  </si>
  <si>
    <t>עלויות עקיפות ( שנדרשות לדעת הספק לצורך הקמת הפתרון) - יש לפרט את כל הרכיבים לצורך הקמת האתר</t>
  </si>
  <si>
    <t>התאמת ממשק חדש</t>
  </si>
  <si>
    <t>עלויות התקנת גרסה חדשה באתר</t>
  </si>
  <si>
    <t>אתר הפיתוח - משרד הבריאות</t>
  </si>
  <si>
    <t>אתר הפיתוח- משרד הבריאות</t>
  </si>
  <si>
    <t xml:space="preserve">ביה"ח גדול </t>
  </si>
  <si>
    <t>אתר גיבוי</t>
  </si>
  <si>
    <t>ביה"ח קטן- גריאטרי פסיכאטרי</t>
  </si>
  <si>
    <t>ביה"ח בינוני - גריאטרי פסיכיאטרי</t>
  </si>
  <si>
    <t>ביה"ח זעיר - גריאטרי פסיכאטרי</t>
  </si>
  <si>
    <t>ביה"ח גדול - כלליים</t>
  </si>
  <si>
    <t>ביה"ח בינוני - כלליים</t>
  </si>
  <si>
    <t>ביה"ח קטן - כלליים</t>
  </si>
  <si>
    <t>ביה"ח קטן  - פסיכאטרי גריאטרי</t>
  </si>
  <si>
    <t>ביה"ח קטן  - כללי</t>
  </si>
  <si>
    <t>ביה"ח בינוני- פסיכאטרי</t>
  </si>
  <si>
    <t>ביה"ח בינוני-כללי</t>
  </si>
  <si>
    <t>9*20</t>
  </si>
  <si>
    <t>1*20</t>
  </si>
  <si>
    <t>3*40</t>
  </si>
  <si>
    <t>9*40</t>
  </si>
  <si>
    <t>1*40</t>
  </si>
  <si>
    <t>5*40</t>
  </si>
  <si>
    <t xml:space="preserve"> </t>
  </si>
  <si>
    <t>ממשקים למערכות משיקות</t>
  </si>
  <si>
    <t>הסבר לחישוב</t>
  </si>
  <si>
    <t>בסיס להצעת אלעד מערכות לאסף הרופאה
עלות שע 230 עבור 27 שעות לאתר</t>
  </si>
  <si>
    <t>אפיון 15  שע  מחיר שעה 250
פיתוח 40 שע  מחיר שעה 230</t>
  </si>
  <si>
    <t>אפיון 30  שע  מחיר שעה 250
פיתוח 70 שע  מחיר שעה 230</t>
  </si>
  <si>
    <t>אפיון 8 שע  מחיר שעה 250
פיתוח 20 שע  מחיר שעה 230</t>
  </si>
  <si>
    <t>אפיון 8  שע  מחיר שעה 250
פיתוח 20 שע  מחיר שעה 230</t>
  </si>
  <si>
    <t>זעיר</t>
  </si>
  <si>
    <t>קטן</t>
  </si>
  <si>
    <t>בינוני</t>
  </si>
  <si>
    <t>גדול</t>
  </si>
  <si>
    <t>בתי חולים כללים</t>
  </si>
  <si>
    <t xml:space="preserve"> גפים 
זעיר = 50% מקטן
קטן ובינוני  75% מבתי חולים כללים</t>
  </si>
  <si>
    <t>אפיון 60  שע  מחיר שעה 250
פיתוח 140 שע  מחיר שעה 230</t>
  </si>
  <si>
    <t>אפיון 30  שע  מחיר שעה 250
פיתוח 80 שע  מחיר שעה 230</t>
  </si>
  <si>
    <t>אפיון 16  שע  מחיר שעה 250
פיתוח 40 שע  מחיר שעה 230</t>
  </si>
  <si>
    <t>אפיון 12 שע  מחיר שעה 250
פיתוח 40 שע  מחיר שעה 230</t>
  </si>
  <si>
    <t>אפיון 16 שע  מחיר שעה 250
פיתוח 60 שע  מחיר שעה 230</t>
  </si>
  <si>
    <t>צריך להכפיל את עלות השרתים בכל אתר</t>
  </si>
  <si>
    <t>זעיר   30
קטן    40
בינוני וגדול   50</t>
  </si>
  <si>
    <t>הערכה כללית לביצוע GA לכלל המרכיבים
אפיון 200  שע  מחיר שעה 250
פיתוח 600 שע  מחיר שעה 230</t>
  </si>
  <si>
    <t>אפיון</t>
  </si>
  <si>
    <t>בכיר/אפיון</t>
  </si>
  <si>
    <t>יישום</t>
  </si>
  <si>
    <t>פיתוח</t>
  </si>
  <si>
    <t>בינוני / גדול</t>
  </si>
  <si>
    <t>אפיון 750שע  מחיר שעה 250
פיתוח 1450 שע  מחיר שעה 230
ללא חיבור לאשכולות בהנחה שבוחרים את פתרונות קמיליון</t>
  </si>
  <si>
    <t>עלויות עקיפות לא כולל אתרים:</t>
  </si>
  <si>
    <t>כל המחירים בהצעה הם שקליים ואינם כוללים מע"מ</t>
  </si>
  <si>
    <t>הערות</t>
  </si>
  <si>
    <t>אתר מרכזי - משרד הבריאות</t>
  </si>
  <si>
    <t>מ"ר זעיר - גריאטרי פסיכאטרי</t>
  </si>
  <si>
    <t>מ"ר קטן- גריאטרי פסיכאטרי</t>
  </si>
  <si>
    <t>מ"ר בינוני - כללי</t>
  </si>
  <si>
    <t>מ"ר קטן - כללי</t>
  </si>
  <si>
    <t>מ"ר גדול - כללי</t>
  </si>
  <si>
    <t>כמות פוטנציאלית</t>
  </si>
  <si>
    <t>כמות שעות לצורך השוואת הצעות המחיר</t>
  </si>
  <si>
    <t>סה״כ</t>
  </si>
  <si>
    <t>עלויות כ״א - מעבר למחוייבות הספק</t>
  </si>
  <si>
    <t>עלות התקנה לפי מרכזים רפואיים</t>
  </si>
  <si>
    <t>סה"כ עלות כ״א (לצורך השוואת ההצעות)</t>
  </si>
  <si>
    <t>לשער דולר ארה״ב</t>
  </si>
  <si>
    <t>או</t>
  </si>
  <si>
    <t>למדד המחירים בישראל</t>
  </si>
  <si>
    <t>הצמדת מחירי ההצעה</t>
  </si>
  <si>
    <t>הכמויות שמולאו בטבלה זו על ידי החטיבה  לצורך השוואת הצעות המחיר הן כמויות תיאורטיות בלבד. החטיבה איננה מתחייבת לצרוך כמויות אלה או את חלקן, ותהיה רשאית לצרוך כמויות גדולות יותר - על פי החלטתה.</t>
  </si>
  <si>
    <t>אתר מרכזי - החטיבה</t>
  </si>
  <si>
    <t>כמות לצורך השוואה בין ההצעות</t>
  </si>
  <si>
    <t>אחראי תפעול והטמעה רמה ב׳</t>
  </si>
  <si>
    <t>מדריך / מטמיע - רמה ב׳</t>
  </si>
  <si>
    <t>מדריך / מטמיע רמה א׳</t>
  </si>
  <si>
    <t>מדריך מטמיע רמה ג׳</t>
  </si>
  <si>
    <t>מנהל בסיס נתונים (DBA) רמה ב׳</t>
  </si>
  <si>
    <t>אחראי פרויקט רמה ב׳</t>
  </si>
  <si>
    <t>מפתח תוכנה רמה ב׳</t>
  </si>
  <si>
    <t>בודק תוכנה רמה ג׳</t>
  </si>
  <si>
    <t>איש סיוע ותמיכה רמה ב׳</t>
  </si>
  <si>
    <t xml:space="preserve">עלות התקנה לכל  מרכז רפואי באירוח בענן
</t>
  </si>
  <si>
    <t>תעריפים אלה תקפים לעבודת כ״א שהיא מעבר לשירותי התמיכה הכלולים בהצעת הספק על פי סעיף 4.7.3 למסמכי המכרז</t>
  </si>
  <si>
    <t>הצמדת עלויות הרישוי (כולל תחזוקה)</t>
  </si>
  <si>
    <t>הצמדת שאר העלויות (מלבד עלויות שעה לכ״א)</t>
  </si>
  <si>
    <t>עלויות כוח האדם תהיינה צמודות בכל מקרה למחירים שבהוראת תכ"מ, "אספקת שירותי מחשוב למשרדי הממשלה", מס' 16.2.11 נספח יג' "תעריפי גג", המתעדכנת מעת לעת</t>
  </si>
  <si>
    <t>סה״כ עלות ההצעה לצורך השוואת מחירים</t>
  </si>
  <si>
    <t>פירוט</t>
  </si>
  <si>
    <t>כמות</t>
  </si>
  <si>
    <t>איש ניתוח ויישום פלטפורמה, רמה ב׳</t>
  </si>
  <si>
    <t>תעריף הגג בשקלים נכון למאי 2023 *</t>
  </si>
  <si>
    <t xml:space="preserve"> * - על פי הוראת תכ"מ "אספקת שירותי מחשוב למשרדי הממשלה", מס' 16.2.11 נספח יג' "תעריפי גג", המתעדכנת מעת לעת</t>
  </si>
  <si>
    <r>
      <t xml:space="preserve">מחיר שעה מוצע (לאחר הנחה) </t>
    </r>
    <r>
      <rPr>
        <b/>
        <u/>
        <sz val="12"/>
        <rFont val="Arial"/>
        <family val="2"/>
      </rPr>
      <t xml:space="preserve">נא לא למלא עמודה זו </t>
    </r>
    <r>
      <rPr>
        <b/>
        <sz val="12"/>
        <color rgb="FFFF0000"/>
        <rFont val="Arial"/>
        <family val="2"/>
      </rPr>
      <t>תוצאה מחושבת אוטומטית</t>
    </r>
  </si>
  <si>
    <t>הספק יבסס את מחירי השעה המוצעים על תעריפי הגג שבהוראת תכ"מ*.
הספק ינקוב לכל מקצוע (שורה) אחוז הנחה מתעריף הגג, אחוז ההנחה לא יפחת מ 20%  ולא יעלה על 60%. יוצאים מכלל זה - עלויות שעה למדריך / מטמיע רמה ב׳ ולמדריך / מטמיע רמה א׳. בשני מקצועות אלה אחוז ההנחה יהיה 0%, ומחיר השעה יהיה המחיר הנקוב בטבלת תעריפי הגג האמורה.</t>
  </si>
  <si>
    <r>
      <t xml:space="preserve">טופס הצעת מחיר עבור מכרז 918-2022  </t>
    </r>
    <r>
      <rPr>
        <b/>
        <u/>
        <sz val="20"/>
        <color rgb="FF002060"/>
        <rFont val="Arial"/>
        <family val="2"/>
      </rPr>
      <t>מערכת דימות</t>
    </r>
    <r>
      <rPr>
        <b/>
        <sz val="18"/>
        <color rgb="FF002060"/>
        <rFont val="Arial"/>
        <family val="2"/>
      </rPr>
      <t xml:space="preserve"> </t>
    </r>
    <r>
      <rPr>
        <b/>
        <sz val="14"/>
        <color rgb="FF002060"/>
        <rFont val="Arial"/>
        <family val="2"/>
      </rPr>
      <t>(כל המחירים - לפני מע״מ)</t>
    </r>
  </si>
  <si>
    <t>עלויות הקמה</t>
  </si>
  <si>
    <t xml:space="preserve">עלות הקמה באירוח בענן על פי המפורט בסעיף 5.2.1 למסמכי המכרז, כולל ממשקים לכל המערכות כמפורט, כולל ממשקים לתיק רפואי יחיד - קמליון </t>
  </si>
  <si>
    <t>עלות פיתוח ממשקים לכל תיק קליני נוסף לתיק הראשון על פי המפורט בסעיף 2.3.2 למסמכי המכרז</t>
  </si>
  <si>
    <t>מ"ר קטן - גריאטרי פסיכאטרי</t>
  </si>
  <si>
    <t>לא כולל את עלויות השימוש בענן. אלה תשולמנה ישירות לנימבוס על ידי החטיבה.</t>
  </si>
  <si>
    <t>החטיבה איננה מתחייבת על מספר המרכזים הרפואיים שהמערכת תותקן בהם בפועל, ועל גודלם.  המחירים המוצעים לרישוי, להתקנה ולשירותים הנוספים יחולו גם על מרכזים רפואיים שיצטרפו לחטיבה בעתיד, ככל ויהיו כאלה וככל שהחטיבה תבחר להתקין גם בהם את המערכת המוצעת במכרז זה.</t>
  </si>
  <si>
    <r>
      <t>כל מחירי ההתקנות</t>
    </r>
    <r>
      <rPr>
        <b/>
        <sz val="12"/>
        <rFont val="Arial"/>
        <family val="2"/>
      </rPr>
      <t xml:space="preserve"> הן באירוח בענן.
ההתקנה כוללת סביבת יצור + סביבת בדיקות.</t>
    </r>
  </si>
  <si>
    <r>
      <t xml:space="preserve">עלויות נוספות שנדרשות  עפ"י מפרט הרכיבים הנוספים הנדרשים לצורך הקמת האתר כמפורט בסעיף 3.4 למסמכי המכרז. </t>
    </r>
    <r>
      <rPr>
        <b/>
        <sz val="12"/>
        <color rgb="FFFF0000"/>
        <rFont val="Arial"/>
        <family val="2"/>
      </rPr>
      <t>הספק רשאי להוסיף שורות על פי הצור</t>
    </r>
    <r>
      <rPr>
        <b/>
        <sz val="12"/>
        <rFont val="Arial"/>
        <family val="2"/>
      </rPr>
      <t xml:space="preserve">ך
</t>
    </r>
  </si>
  <si>
    <t>יש לציין את הכמות הנדרשת מכל רכיב תחת המשקל משוקלל, ואת המחיר ליחידה תחת עמודת המחיר</t>
  </si>
  <si>
    <t>עלויות רישוי שנתי</t>
  </si>
  <si>
    <t>סה״כ רישוי ל-7 שנים</t>
  </si>
  <si>
    <t>עלות רישוי שנתי למערכת (כולל אחזקה ומוקד אחזקה ותמיכה)</t>
  </si>
  <si>
    <t xml:space="preserve">עלות הרישוי (כולל אחזקה ומוקד אחזקה ותמיכה) לצורך השוואת ההצעות בלבד היא לתקופה של 7 שנים. 
להזכיר - הספק מתחייב לספק לחטיבה במחירים האמורים את כלל השירותים למשך  20 שנים, בכפוף להחלטות החטיבה על מימוש אופציות המשך ההתקשרות.
</t>
  </si>
  <si>
    <t>אחוז ההנחה המוצע על ידי הספק (20%-60%) מתעריף הגג הנוכחי</t>
  </si>
  <si>
    <t>תפקיד</t>
  </si>
  <si>
    <t>יש לבחור:</t>
  </si>
  <si>
    <t>בעלויות העקיפות רשאי הספק להוסיף שורות במידת הצורך</t>
  </si>
  <si>
    <t>עלויות כח אדם</t>
  </si>
  <si>
    <t>עלויות נוספות ומוצרי צד ג׳</t>
  </si>
  <si>
    <t>החטיבה שומרת לעצמה את הזכות לרכוש רכיבים אלה באופן עצמאי</t>
  </si>
  <si>
    <t>מחיר יחידה, כולל רכישה / רישוי  ואחזקה ל 7 שנים</t>
  </si>
  <si>
    <t>אופציה להרחבת פעילות מוקד האחזקה והתמיכה לתפקוד כקו ראשון -מעבר לשעות העבודה הרגילות</t>
  </si>
  <si>
    <t>על פי סעיף 4.7.4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</si>
</sst>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_ * #,##0_ ;_ * \-#,##0_ ;_ * &quot;-&quot;??_ ;_ @_ "/>
    <numFmt numFmtId="165" formatCode="_-* #,##0_-;\-* #,##0_-;_-* &quot;-&quot;??_-;_-@_-"/>
    <numFmt numFmtId="166" formatCode="_ * #,##0.0_ ;_ * \-#,##0.0_ ;_ * &quot;-&quot;?_ ;_ @_ "/>
    <numFmt numFmtId="167" formatCode="#,##0.00_ ;\-#,##0.00\ "/>
  </numFmts>
  <fonts count="37">
    <font>
      <sz val="11"/>
      <color theme="1"/>
      <name val="Arial"/>
      <family val="2"/>
      <charset val="177"/>
      <scheme val="minor"/>
    </font>
    <font>
      <sz val="11"/>
      <color theme="1"/>
      <name val="Arial"/>
      <family val="2"/>
      <charset val="177"/>
      <scheme val="minor"/>
    </font>
    <font>
      <b/>
      <sz val="18"/>
      <color rgb="FF002060"/>
      <name val="Arial"/>
      <family val="2"/>
    </font>
    <font>
      <b/>
      <sz val="14"/>
      <name val="Arial"/>
      <family val="2"/>
    </font>
    <font>
      <b/>
      <u/>
      <sz val="16"/>
      <color rgb="FF002060"/>
      <name val="Arial"/>
      <family val="2"/>
    </font>
    <font>
      <b/>
      <u/>
      <sz val="14"/>
      <color rgb="FF002060"/>
      <name val="Arial"/>
      <family val="2"/>
    </font>
    <font>
      <sz val="12"/>
      <name val="Arial"/>
      <family val="2"/>
    </font>
    <font>
      <u/>
      <sz val="10"/>
      <color theme="10"/>
      <name val="Arial"/>
      <family val="2"/>
    </font>
    <font>
      <sz val="11"/>
      <name val="Arial"/>
      <family val="2"/>
    </font>
    <font>
      <sz val="10"/>
      <name val="Arial"/>
      <family val="2"/>
    </font>
    <font>
      <b/>
      <sz val="10"/>
      <name val="Arial"/>
      <family val="2"/>
    </font>
    <font>
      <b/>
      <sz val="11"/>
      <name val="Arial"/>
      <family val="2"/>
    </font>
    <font>
      <b/>
      <u/>
      <sz val="11"/>
      <name val="Arial"/>
      <family val="2"/>
    </font>
    <font>
      <b/>
      <u/>
      <sz val="10"/>
      <name val="Arial"/>
      <family val="2"/>
    </font>
    <font>
      <b/>
      <sz val="16"/>
      <name val="Arial"/>
      <family val="2"/>
    </font>
    <font>
      <b/>
      <u/>
      <sz val="12"/>
      <name val="Arial"/>
      <family val="2"/>
    </font>
    <font>
      <b/>
      <sz val="11"/>
      <color theme="1"/>
      <name val="Arial"/>
      <family val="2"/>
      <scheme val="minor"/>
    </font>
    <font>
      <b/>
      <u val="singleAccounting"/>
      <sz val="11"/>
      <name val="Arial"/>
      <family val="2"/>
    </font>
    <font>
      <b/>
      <sz val="8"/>
      <color indexed="81"/>
      <name val="Tahoma"/>
      <family val="2"/>
    </font>
    <font>
      <b/>
      <sz val="12"/>
      <name val="Arial"/>
      <family val="2"/>
    </font>
    <font>
      <sz val="11"/>
      <color rgb="FFFF0000"/>
      <name val="Arial"/>
      <family val="2"/>
      <charset val="177"/>
      <scheme val="minor"/>
    </font>
    <font>
      <b/>
      <sz val="16"/>
      <color rgb="FF00B050"/>
      <name val="Arial"/>
      <family val="2"/>
    </font>
    <font>
      <sz val="11"/>
      <color rgb="FF1F497D"/>
      <name val="Arial"/>
      <family val="2"/>
    </font>
    <font>
      <sz val="11"/>
      <color rgb="FF1F497D"/>
      <name val="Calibri"/>
      <family val="2"/>
    </font>
    <font>
      <sz val="14"/>
      <color theme="5"/>
      <name val="Arial"/>
      <family val="2"/>
    </font>
    <font>
      <sz val="14"/>
      <name val="Arial"/>
      <family val="2"/>
    </font>
    <font>
      <sz val="11"/>
      <name val="Arial (גוף)"/>
      <charset val="177"/>
    </font>
    <font>
      <b/>
      <sz val="14"/>
      <color rgb="FF002060"/>
      <name val="Arial"/>
      <family val="2"/>
    </font>
    <font>
      <b/>
      <u/>
      <sz val="20"/>
      <color rgb="FF002060"/>
      <name val="Arial"/>
      <family val="2"/>
    </font>
    <font>
      <b/>
      <sz val="10"/>
      <color theme="5"/>
      <name val="Arial"/>
      <family val="2"/>
    </font>
    <font>
      <b/>
      <sz val="18"/>
      <name val="Arial"/>
      <family val="2"/>
    </font>
    <font>
      <b/>
      <sz val="22"/>
      <name val="Arial"/>
      <family val="2"/>
    </font>
    <font>
      <b/>
      <sz val="12"/>
      <color rgb="FFFF0000"/>
      <name val="Arial"/>
      <family val="2"/>
    </font>
    <font>
      <b/>
      <sz val="12"/>
      <name val="Arial"/>
      <family val="2"/>
      <scheme val="minor"/>
    </font>
    <font>
      <sz val="11"/>
      <color rgb="FFFF0000"/>
      <name val="Arial"/>
      <family val="2"/>
      <charset val="177"/>
    </font>
    <font>
      <sz val="11"/>
      <color rgb="FFFF0000"/>
      <name val="Arial (גוף)"/>
      <charset val="177"/>
    </font>
    <font>
      <b/>
      <sz val="10"/>
      <color rgb="FFFF0000"/>
      <name val="Arial"/>
      <family val="2"/>
    </font>
  </fonts>
  <fills count="10">
    <fill>
      <patternFill patternType="none"/>
    </fill>
    <fill>
      <patternFill patternType="gray125"/>
    </fill>
    <fill>
      <patternFill patternType="solid">
        <fgColor theme="4"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rgb="FFFFFFCC"/>
      </patternFill>
    </fill>
    <fill>
      <patternFill patternType="solid">
        <fgColor rgb="FFFFFF00"/>
        <bgColor indexed="64"/>
      </patternFill>
    </fill>
    <fill>
      <patternFill patternType="solid">
        <fgColor theme="0"/>
        <bgColor indexed="64"/>
      </patternFill>
    </fill>
    <fill>
      <patternFill patternType="solid">
        <fgColor rgb="FF92D050"/>
        <bgColor indexed="64"/>
      </patternFill>
    </fill>
    <fill>
      <patternFill patternType="solid">
        <fgColor theme="9" tint="-0.249977111117893"/>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bottom style="medium">
        <color indexed="64"/>
      </bottom>
      <diagonal/>
    </border>
    <border>
      <left style="thin">
        <color indexed="64"/>
      </left>
      <right style="thin">
        <color indexed="64"/>
      </right>
      <top style="medium">
        <color indexed="64"/>
      </top>
      <bottom/>
      <diagonal/>
    </border>
    <border>
      <left/>
      <right/>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rgb="FFB2B2B2"/>
      </left>
      <right style="thin">
        <color rgb="FFB2B2B2"/>
      </right>
      <top style="thin">
        <color rgb="FFB2B2B2"/>
      </top>
      <bottom style="thin">
        <color rgb="FFB2B2B2"/>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0" fontId="9" fillId="0" borderId="0"/>
    <xf numFmtId="0" fontId="1" fillId="5" borderId="33" applyNumberFormat="0" applyFont="0" applyAlignment="0" applyProtection="0"/>
  </cellStyleXfs>
  <cellXfs count="299">
    <xf numFmtId="0" fontId="0" fillId="0" borderId="0" xfId="0"/>
    <xf numFmtId="0" fontId="0" fillId="0" borderId="0" xfId="0" applyAlignment="1">
      <alignment wrapText="1"/>
    </xf>
    <xf numFmtId="0" fontId="6" fillId="0" borderId="0" xfId="0" applyFont="1" applyBorder="1" applyAlignment="1">
      <alignment wrapText="1"/>
    </xf>
    <xf numFmtId="0" fontId="6" fillId="0" borderId="1" xfId="0" applyFont="1" applyBorder="1" applyAlignment="1">
      <alignment wrapText="1"/>
    </xf>
    <xf numFmtId="0" fontId="8" fillId="0" borderId="1" xfId="3" applyFont="1" applyFill="1" applyBorder="1" applyAlignment="1">
      <alignment horizontal="right" vertical="top" wrapText="1"/>
    </xf>
    <xf numFmtId="0" fontId="0" fillId="0" borderId="0" xfId="0" applyAlignment="1">
      <alignment horizontal="right"/>
    </xf>
    <xf numFmtId="0" fontId="0" fillId="0" borderId="1" xfId="0" applyFill="1" applyBorder="1" applyAlignment="1">
      <alignment wrapText="1"/>
    </xf>
    <xf numFmtId="164" fontId="9" fillId="0" borderId="1" xfId="1" applyNumberFormat="1" applyFont="1" applyFill="1" applyBorder="1" applyAlignment="1" applyProtection="1">
      <alignment horizontal="center" vertical="center" wrapText="1"/>
      <protection locked="0"/>
    </xf>
    <xf numFmtId="164" fontId="9" fillId="0" borderId="1" xfId="1" applyNumberFormat="1" applyFont="1" applyFill="1" applyBorder="1" applyAlignment="1" applyProtection="1">
      <alignment horizontal="right" vertical="center" wrapText="1"/>
      <protection locked="0"/>
    </xf>
    <xf numFmtId="164" fontId="9" fillId="0" borderId="8" xfId="1" applyNumberFormat="1" applyFont="1" applyFill="1" applyBorder="1" applyAlignment="1" applyProtection="1">
      <alignment horizontal="center" vertical="center" wrapText="1"/>
      <protection locked="0"/>
    </xf>
    <xf numFmtId="9" fontId="1" fillId="0" borderId="1" xfId="2" applyFill="1" applyBorder="1" applyAlignment="1">
      <alignment horizontal="center" vertical="center" wrapText="1"/>
    </xf>
    <xf numFmtId="0" fontId="8" fillId="4" borderId="1" xfId="3" applyFont="1" applyFill="1" applyBorder="1" applyAlignment="1">
      <alignment horizontal="right" vertical="top" wrapText="1"/>
    </xf>
    <xf numFmtId="164" fontId="9" fillId="4" borderId="1" xfId="1" applyNumberFormat="1" applyFont="1" applyFill="1" applyBorder="1" applyAlignment="1" applyProtection="1">
      <alignment horizontal="center" vertical="center" wrapText="1"/>
      <protection locked="0"/>
    </xf>
    <xf numFmtId="164" fontId="9" fillId="4" borderId="1" xfId="1" applyNumberFormat="1" applyFont="1" applyFill="1" applyBorder="1" applyAlignment="1" applyProtection="1">
      <alignment horizontal="right" vertical="center" wrapText="1"/>
      <protection locked="0"/>
    </xf>
    <xf numFmtId="164" fontId="9" fillId="4" borderId="8" xfId="1" applyNumberFormat="1" applyFont="1" applyFill="1" applyBorder="1" applyAlignment="1" applyProtection="1">
      <alignment horizontal="center" vertical="center" wrapText="1"/>
      <protection locked="0"/>
    </xf>
    <xf numFmtId="9" fontId="1" fillId="4" borderId="1" xfId="2" applyFill="1" applyBorder="1" applyAlignment="1">
      <alignment horizontal="center" vertical="center" wrapText="1"/>
    </xf>
    <xf numFmtId="0" fontId="0" fillId="0" borderId="1" xfId="0" applyFill="1" applyBorder="1" applyAlignment="1">
      <alignment horizontal="right" wrapText="1"/>
    </xf>
    <xf numFmtId="10" fontId="0" fillId="0" borderId="1" xfId="0" applyNumberFormat="1" applyFill="1" applyBorder="1" applyAlignment="1">
      <alignment horizontal="center" wrapText="1"/>
    </xf>
    <xf numFmtId="0" fontId="0" fillId="0" borderId="1" xfId="0" applyFill="1" applyBorder="1" applyAlignment="1">
      <alignment horizontal="center" wrapText="1"/>
    </xf>
    <xf numFmtId="164" fontId="10" fillId="4" borderId="1" xfId="1" applyNumberFormat="1" applyFont="1" applyFill="1" applyBorder="1" applyAlignment="1" applyProtection="1">
      <alignment horizontal="center" vertical="center" wrapText="1"/>
      <protection locked="0"/>
    </xf>
    <xf numFmtId="0" fontId="8" fillId="4" borderId="6" xfId="3" applyFont="1" applyFill="1" applyBorder="1" applyAlignment="1">
      <alignment horizontal="right" vertical="top" wrapText="1"/>
    </xf>
    <xf numFmtId="9" fontId="1" fillId="4" borderId="6" xfId="2" applyFill="1" applyBorder="1" applyAlignment="1">
      <alignment horizontal="center" vertical="center" wrapText="1"/>
    </xf>
    <xf numFmtId="164" fontId="10" fillId="4" borderId="6" xfId="1" applyNumberFormat="1" applyFont="1" applyFill="1" applyBorder="1" applyAlignment="1" applyProtection="1">
      <alignment horizontal="center" vertical="center" wrapText="1"/>
      <protection locked="0"/>
    </xf>
    <xf numFmtId="164" fontId="9" fillId="4" borderId="3" xfId="1" applyNumberFormat="1" applyFont="1" applyFill="1" applyBorder="1" applyAlignment="1" applyProtection="1">
      <alignment horizontal="center" vertical="center" wrapText="1"/>
      <protection locked="0"/>
    </xf>
    <xf numFmtId="0" fontId="8" fillId="4" borderId="12" xfId="3" applyFont="1" applyFill="1" applyBorder="1" applyAlignment="1">
      <alignment horizontal="right" vertical="top" wrapText="1"/>
    </xf>
    <xf numFmtId="164" fontId="9" fillId="4" borderId="12" xfId="1" applyNumberFormat="1" applyFont="1" applyFill="1" applyBorder="1" applyAlignment="1" applyProtection="1">
      <alignment horizontal="center" vertical="center" wrapText="1"/>
      <protection locked="0"/>
    </xf>
    <xf numFmtId="9" fontId="1" fillId="4" borderId="12" xfId="2" applyFill="1" applyBorder="1" applyAlignment="1">
      <alignment horizontal="center" vertical="center" wrapText="1"/>
    </xf>
    <xf numFmtId="164" fontId="9" fillId="4" borderId="13" xfId="1" applyNumberFormat="1" applyFont="1" applyFill="1" applyBorder="1" applyAlignment="1" applyProtection="1">
      <alignment horizontal="center" vertical="center" wrapText="1"/>
      <protection locked="0"/>
    </xf>
    <xf numFmtId="164" fontId="9" fillId="4" borderId="12" xfId="1" applyNumberFormat="1" applyFont="1" applyFill="1" applyBorder="1" applyAlignment="1" applyProtection="1">
      <alignment horizontal="right" vertical="center" wrapText="1"/>
      <protection locked="0"/>
    </xf>
    <xf numFmtId="164" fontId="9" fillId="0" borderId="3" xfId="1" applyNumberFormat="1" applyFont="1" applyFill="1" applyBorder="1" applyAlignment="1" applyProtection="1">
      <alignment horizontal="center" vertical="center" wrapText="1"/>
      <protection locked="0"/>
    </xf>
    <xf numFmtId="164" fontId="9" fillId="0" borderId="12" xfId="1" applyNumberFormat="1" applyFont="1" applyFill="1" applyBorder="1" applyAlignment="1" applyProtection="1">
      <alignment horizontal="center" vertical="center" wrapText="1"/>
      <protection locked="0"/>
    </xf>
    <xf numFmtId="164" fontId="9" fillId="0" borderId="13" xfId="1" applyNumberFormat="1" applyFont="1" applyFill="1" applyBorder="1" applyAlignment="1" applyProtection="1">
      <alignment horizontal="center" vertical="center" wrapText="1"/>
      <protection locked="0"/>
    </xf>
    <xf numFmtId="0" fontId="6" fillId="4" borderId="1" xfId="0" applyFont="1" applyFill="1" applyBorder="1" applyAlignment="1">
      <alignment horizontal="right" wrapText="1"/>
    </xf>
    <xf numFmtId="1" fontId="1" fillId="4" borderId="1" xfId="2" applyNumberFormat="1" applyFill="1" applyBorder="1" applyAlignment="1">
      <alignment horizontal="center" vertical="center" wrapText="1"/>
    </xf>
    <xf numFmtId="164" fontId="10" fillId="4" borderId="12" xfId="1" applyNumberFormat="1" applyFont="1" applyFill="1" applyBorder="1" applyAlignment="1" applyProtection="1">
      <alignment horizontal="center" vertical="center" wrapText="1"/>
      <protection locked="0"/>
    </xf>
    <xf numFmtId="164" fontId="10" fillId="4" borderId="1" xfId="1" applyNumberFormat="1" applyFont="1" applyFill="1" applyBorder="1" applyAlignment="1" applyProtection="1">
      <alignment horizontal="right" vertical="center" wrapText="1"/>
      <protection locked="0"/>
    </xf>
    <xf numFmtId="164" fontId="10" fillId="4" borderId="12" xfId="1" applyNumberFormat="1" applyFont="1" applyFill="1" applyBorder="1" applyAlignment="1" applyProtection="1">
      <alignment horizontal="right" vertical="center" wrapText="1"/>
      <protection locked="0"/>
    </xf>
    <xf numFmtId="164" fontId="16" fillId="0" borderId="1" xfId="1" applyNumberFormat="1" applyFont="1" applyFill="1" applyBorder="1" applyAlignment="1" applyProtection="1">
      <alignment horizontal="right" vertical="center" wrapText="1"/>
      <protection locked="0"/>
    </xf>
    <xf numFmtId="164" fontId="10" fillId="0" borderId="1" xfId="1" applyNumberFormat="1" applyFont="1" applyFill="1" applyBorder="1" applyAlignment="1" applyProtection="1">
      <alignment horizontal="right" vertical="center" wrapText="1"/>
      <protection locked="0"/>
    </xf>
    <xf numFmtId="164" fontId="10" fillId="4" borderId="8" xfId="1" applyNumberFormat="1" applyFont="1" applyFill="1" applyBorder="1" applyAlignment="1" applyProtection="1">
      <alignment horizontal="center" vertical="center" wrapText="1"/>
      <protection locked="0"/>
    </xf>
    <xf numFmtId="0" fontId="0" fillId="0" borderId="0" xfId="0" applyFill="1"/>
    <xf numFmtId="9" fontId="1" fillId="4" borderId="9" xfId="2" applyFill="1" applyBorder="1" applyAlignment="1">
      <alignment horizontal="center" vertical="center" wrapText="1"/>
    </xf>
    <xf numFmtId="164" fontId="9" fillId="4" borderId="9" xfId="1" applyNumberFormat="1" applyFont="1" applyFill="1" applyBorder="1" applyAlignment="1" applyProtection="1">
      <alignment horizontal="center" vertical="center" wrapText="1"/>
      <protection locked="0"/>
    </xf>
    <xf numFmtId="164" fontId="9" fillId="4" borderId="21" xfId="1" applyNumberFormat="1" applyFont="1" applyFill="1" applyBorder="1" applyAlignment="1" applyProtection="1">
      <alignment horizontal="center" vertical="center" wrapText="1"/>
      <protection locked="0"/>
    </xf>
    <xf numFmtId="9" fontId="1" fillId="0" borderId="12" xfId="2" applyFill="1" applyBorder="1" applyAlignment="1">
      <alignment horizontal="center" vertical="center" wrapText="1"/>
    </xf>
    <xf numFmtId="9" fontId="1" fillId="0" borderId="6" xfId="2" applyFill="1" applyBorder="1" applyAlignment="1">
      <alignment horizontal="center" vertical="center" wrapText="1"/>
    </xf>
    <xf numFmtId="164" fontId="9" fillId="0" borderId="6" xfId="1" applyNumberFormat="1" applyFont="1" applyFill="1" applyBorder="1" applyAlignment="1" applyProtection="1">
      <alignment horizontal="center" vertical="center" wrapText="1"/>
      <protection locked="0"/>
    </xf>
    <xf numFmtId="0" fontId="8" fillId="0" borderId="12" xfId="3" applyFont="1" applyFill="1" applyBorder="1" applyAlignment="1">
      <alignment horizontal="right" vertical="top" wrapText="1"/>
    </xf>
    <xf numFmtId="164" fontId="10" fillId="4" borderId="19" xfId="1" applyNumberFormat="1" applyFont="1" applyFill="1" applyBorder="1" applyAlignment="1" applyProtection="1">
      <alignment horizontal="center" vertical="center" wrapText="1"/>
      <protection locked="0"/>
    </xf>
    <xf numFmtId="0" fontId="8" fillId="4" borderId="2" xfId="3" applyFont="1" applyFill="1" applyBorder="1" applyAlignment="1">
      <alignment horizontal="right" vertical="top" wrapText="1"/>
    </xf>
    <xf numFmtId="0" fontId="8" fillId="4" borderId="11" xfId="3" applyFont="1" applyFill="1" applyBorder="1" applyAlignment="1">
      <alignment horizontal="right" vertical="top" wrapText="1"/>
    </xf>
    <xf numFmtId="0" fontId="6" fillId="0" borderId="0" xfId="0" applyFont="1" applyFill="1" applyBorder="1" applyAlignment="1">
      <alignment wrapText="1"/>
    </xf>
    <xf numFmtId="0" fontId="6" fillId="0" borderId="12" xfId="0" applyFont="1" applyBorder="1" applyAlignment="1">
      <alignment wrapText="1"/>
    </xf>
    <xf numFmtId="0" fontId="12" fillId="4" borderId="6" xfId="3" applyFont="1" applyFill="1" applyBorder="1" applyAlignment="1">
      <alignment horizontal="right" vertical="center" wrapText="1"/>
    </xf>
    <xf numFmtId="9" fontId="13" fillId="4" borderId="6" xfId="2" applyFont="1" applyFill="1" applyBorder="1" applyAlignment="1">
      <alignment horizontal="center" vertical="center" wrapText="1"/>
    </xf>
    <xf numFmtId="164" fontId="9" fillId="4" borderId="6" xfId="1" applyNumberFormat="1" applyFont="1" applyFill="1" applyBorder="1" applyAlignment="1" applyProtection="1">
      <alignment horizontal="center" vertical="center" wrapText="1"/>
      <protection locked="0"/>
    </xf>
    <xf numFmtId="1" fontId="1" fillId="4" borderId="12" xfId="2" applyNumberFormat="1" applyFill="1" applyBorder="1" applyAlignment="1">
      <alignment horizontal="center" vertical="center" wrapText="1"/>
    </xf>
    <xf numFmtId="164" fontId="17" fillId="0" borderId="6" xfId="1" applyNumberFormat="1" applyFont="1" applyFill="1" applyBorder="1" applyAlignment="1" applyProtection="1">
      <alignment horizontal="right" vertical="center" wrapText="1"/>
      <protection locked="0"/>
    </xf>
    <xf numFmtId="164" fontId="9" fillId="4" borderId="29" xfId="1" applyNumberFormat="1" applyFont="1" applyFill="1" applyBorder="1" applyAlignment="1" applyProtection="1">
      <alignment horizontal="center" vertical="center" wrapText="1"/>
      <protection locked="0"/>
    </xf>
    <xf numFmtId="0" fontId="8" fillId="0" borderId="6" xfId="3" applyFont="1" applyFill="1" applyBorder="1" applyAlignment="1">
      <alignment horizontal="right" vertical="top" wrapText="1"/>
    </xf>
    <xf numFmtId="164" fontId="10" fillId="0" borderId="6" xfId="1" applyNumberFormat="1" applyFont="1" applyFill="1" applyBorder="1" applyAlignment="1" applyProtection="1">
      <alignment horizontal="right" vertical="center" wrapText="1"/>
      <protection locked="0"/>
    </xf>
    <xf numFmtId="164" fontId="10" fillId="0" borderId="12" xfId="1" applyNumberFormat="1" applyFont="1" applyFill="1" applyBorder="1" applyAlignment="1" applyProtection="1">
      <alignment horizontal="right" vertical="center" wrapText="1"/>
      <protection locked="0"/>
    </xf>
    <xf numFmtId="0" fontId="11" fillId="4" borderId="5" xfId="3" applyFont="1" applyFill="1" applyBorder="1" applyAlignment="1">
      <alignment horizontal="right" vertical="top" wrapText="1"/>
    </xf>
    <xf numFmtId="164" fontId="10" fillId="4" borderId="6" xfId="1" applyNumberFormat="1" applyFont="1" applyFill="1" applyBorder="1" applyAlignment="1" applyProtection="1">
      <alignment horizontal="right" vertical="center" wrapText="1"/>
      <protection locked="0"/>
    </xf>
    <xf numFmtId="164" fontId="9" fillId="0" borderId="19" xfId="1" applyNumberFormat="1" applyFont="1" applyFill="1" applyBorder="1" applyAlignment="1" applyProtection="1">
      <alignment horizontal="center" vertical="center" wrapText="1"/>
      <protection locked="0"/>
    </xf>
    <xf numFmtId="164" fontId="16" fillId="0" borderId="12" xfId="1" applyNumberFormat="1" applyFont="1" applyFill="1" applyBorder="1" applyAlignment="1" applyProtection="1">
      <alignment horizontal="right" vertical="center" wrapText="1"/>
      <protection locked="0"/>
    </xf>
    <xf numFmtId="164" fontId="9" fillId="0" borderId="12" xfId="1" applyNumberFormat="1" applyFont="1" applyFill="1" applyBorder="1" applyAlignment="1" applyProtection="1">
      <alignment horizontal="right" vertical="center" wrapText="1"/>
      <protection locked="0"/>
    </xf>
    <xf numFmtId="0" fontId="0" fillId="0" borderId="9" xfId="0" applyFill="1" applyBorder="1" applyAlignment="1">
      <alignment wrapText="1"/>
    </xf>
    <xf numFmtId="0" fontId="4" fillId="3" borderId="9" xfId="0" applyFont="1" applyFill="1" applyBorder="1" applyAlignment="1">
      <alignment horizontal="right" wrapText="1"/>
    </xf>
    <xf numFmtId="10" fontId="5" fillId="3" borderId="9" xfId="0" applyNumberFormat="1" applyFont="1" applyFill="1" applyBorder="1" applyAlignment="1">
      <alignment horizontal="center" wrapText="1"/>
    </xf>
    <xf numFmtId="0" fontId="5" fillId="3" borderId="9" xfId="0" applyFont="1" applyFill="1" applyBorder="1" applyAlignment="1">
      <alignment horizontal="center" wrapText="1"/>
    </xf>
    <xf numFmtId="0" fontId="15" fillId="4" borderId="10" xfId="3" applyFont="1" applyFill="1" applyBorder="1" applyAlignment="1">
      <alignment vertical="center" wrapText="1"/>
    </xf>
    <xf numFmtId="0" fontId="0" fillId="0" borderId="10" xfId="0" applyBorder="1"/>
    <xf numFmtId="0" fontId="15" fillId="4" borderId="6" xfId="0" applyFont="1" applyFill="1" applyBorder="1" applyAlignment="1">
      <alignment vertical="center" wrapText="1"/>
    </xf>
    <xf numFmtId="0" fontId="6" fillId="4" borderId="12" xfId="0" applyFont="1" applyFill="1" applyBorder="1" applyAlignment="1">
      <alignment horizontal="right" wrapText="1"/>
    </xf>
    <xf numFmtId="0" fontId="14" fillId="2" borderId="10" xfId="0" applyFont="1" applyFill="1" applyBorder="1" applyAlignment="1">
      <alignment horizontal="right" wrapText="1"/>
    </xf>
    <xf numFmtId="10" fontId="14" fillId="2" borderId="10" xfId="0" applyNumberFormat="1" applyFont="1" applyFill="1" applyBorder="1" applyAlignment="1">
      <alignment horizontal="center" wrapText="1"/>
    </xf>
    <xf numFmtId="9" fontId="14" fillId="2" borderId="10" xfId="2" applyFont="1" applyFill="1" applyBorder="1" applyAlignment="1">
      <alignment horizontal="center" wrapText="1"/>
    </xf>
    <xf numFmtId="164" fontId="14" fillId="2" borderId="10" xfId="0" applyNumberFormat="1" applyFont="1" applyFill="1" applyBorder="1" applyAlignment="1">
      <alignment horizontal="center" wrapText="1"/>
    </xf>
    <xf numFmtId="164" fontId="16" fillId="4" borderId="6" xfId="1" applyNumberFormat="1" applyFont="1" applyFill="1" applyBorder="1" applyAlignment="1" applyProtection="1">
      <alignment horizontal="right" vertical="center" wrapText="1"/>
      <protection locked="0"/>
    </xf>
    <xf numFmtId="0" fontId="11" fillId="0" borderId="10" xfId="3" applyFont="1" applyFill="1" applyBorder="1" applyAlignment="1">
      <alignment horizontal="center" vertical="center" wrapText="1"/>
    </xf>
    <xf numFmtId="0" fontId="0" fillId="0" borderId="5" xfId="0" applyBorder="1"/>
    <xf numFmtId="0" fontId="6" fillId="0" borderId="6" xfId="0" applyFont="1" applyFill="1" applyBorder="1" applyAlignment="1">
      <alignment horizontal="right" wrapText="1"/>
    </xf>
    <xf numFmtId="0" fontId="0" fillId="0" borderId="2" xfId="0" applyBorder="1"/>
    <xf numFmtId="0" fontId="0" fillId="0" borderId="11" xfId="0" applyBorder="1"/>
    <xf numFmtId="0" fontId="11" fillId="0" borderId="10" xfId="3" applyFont="1" applyFill="1" applyBorder="1" applyAlignment="1">
      <alignment horizontal="center" vertical="center" wrapText="1"/>
    </xf>
    <xf numFmtId="164" fontId="10" fillId="4" borderId="9" xfId="1" applyNumberFormat="1" applyFont="1" applyFill="1" applyBorder="1" applyAlignment="1" applyProtection="1">
      <alignment horizontal="right" vertical="center" wrapText="1"/>
      <protection locked="0"/>
    </xf>
    <xf numFmtId="0" fontId="0" fillId="0" borderId="5" xfId="0" applyFill="1" applyBorder="1" applyAlignment="1">
      <alignment wrapText="1"/>
    </xf>
    <xf numFmtId="0" fontId="0" fillId="0" borderId="6" xfId="0" applyFill="1" applyBorder="1" applyAlignment="1">
      <alignment horizontal="right" wrapText="1"/>
    </xf>
    <xf numFmtId="10" fontId="0" fillId="0" borderId="6" xfId="0" applyNumberFormat="1" applyFill="1" applyBorder="1" applyAlignment="1">
      <alignment horizontal="center" wrapText="1"/>
    </xf>
    <xf numFmtId="0" fontId="0" fillId="0" borderId="2" xfId="0" applyFill="1" applyBorder="1" applyAlignment="1">
      <alignment wrapText="1"/>
    </xf>
    <xf numFmtId="0" fontId="4" fillId="3" borderId="1" xfId="0" applyFont="1" applyFill="1" applyBorder="1" applyAlignment="1">
      <alignment horizontal="right" wrapText="1"/>
    </xf>
    <xf numFmtId="164" fontId="10" fillId="4" borderId="6" xfId="1" applyNumberFormat="1" applyFont="1" applyFill="1" applyBorder="1" applyAlignment="1" applyProtection="1">
      <alignment horizontal="center" vertical="center" wrapText="1"/>
      <protection locked="0"/>
    </xf>
    <xf numFmtId="164" fontId="9" fillId="4" borderId="8" xfId="1" applyNumberFormat="1" applyFont="1" applyFill="1" applyBorder="1" applyAlignment="1" applyProtection="1">
      <alignment horizontal="center" vertical="center" wrapText="1"/>
      <protection locked="0"/>
    </xf>
    <xf numFmtId="0" fontId="6" fillId="0" borderId="1" xfId="0" applyFont="1" applyBorder="1" applyAlignment="1">
      <alignment wrapText="1"/>
    </xf>
    <xf numFmtId="164" fontId="10" fillId="4" borderId="1" xfId="1" applyNumberFormat="1" applyFont="1" applyFill="1" applyBorder="1" applyAlignment="1" applyProtection="1">
      <alignment horizontal="center" vertical="center" wrapText="1"/>
      <protection locked="0"/>
    </xf>
    <xf numFmtId="9" fontId="1" fillId="4" borderId="1" xfId="2" applyFill="1" applyBorder="1" applyAlignment="1">
      <alignment horizontal="center" vertical="center" wrapText="1"/>
    </xf>
    <xf numFmtId="164" fontId="9" fillId="4" borderId="1" xfId="1" applyNumberFormat="1" applyFont="1" applyFill="1" applyBorder="1" applyAlignment="1" applyProtection="1">
      <alignment horizontal="center" vertical="center" wrapText="1"/>
      <protection locked="0"/>
    </xf>
    <xf numFmtId="164" fontId="9" fillId="4" borderId="3" xfId="1" applyNumberFormat="1" applyFont="1" applyFill="1" applyBorder="1" applyAlignment="1" applyProtection="1">
      <alignment horizontal="center" vertical="center" wrapText="1"/>
      <protection locked="0"/>
    </xf>
    <xf numFmtId="164" fontId="9" fillId="0" borderId="1" xfId="1" applyNumberFormat="1" applyFont="1" applyFill="1" applyBorder="1" applyAlignment="1" applyProtection="1">
      <alignment horizontal="center" vertical="center" wrapText="1"/>
      <protection locked="0"/>
    </xf>
    <xf numFmtId="164" fontId="9" fillId="0" borderId="3" xfId="1" applyNumberFormat="1" applyFont="1" applyFill="1" applyBorder="1" applyAlignment="1" applyProtection="1">
      <alignment horizontal="center" vertical="center" wrapText="1"/>
      <protection locked="0"/>
    </xf>
    <xf numFmtId="164" fontId="10" fillId="4" borderId="8" xfId="1" applyNumberFormat="1" applyFont="1" applyFill="1" applyBorder="1" applyAlignment="1" applyProtection="1">
      <alignment horizontal="center" vertical="center" wrapText="1"/>
      <protection locked="0"/>
    </xf>
    <xf numFmtId="164" fontId="10" fillId="4" borderId="19" xfId="1" applyNumberFormat="1" applyFont="1" applyFill="1" applyBorder="1" applyAlignment="1" applyProtection="1">
      <alignment horizontal="center" vertical="center" wrapText="1"/>
      <protection locked="0"/>
    </xf>
    <xf numFmtId="0" fontId="8" fillId="5" borderId="33" xfId="5" applyFont="1" applyAlignment="1">
      <alignment horizontal="right" vertical="top" wrapText="1"/>
    </xf>
    <xf numFmtId="165" fontId="0" fillId="0" borderId="0" xfId="1" applyNumberFormat="1" applyFont="1"/>
    <xf numFmtId="43" fontId="6" fillId="0" borderId="0" xfId="0" applyNumberFormat="1" applyFont="1" applyBorder="1" applyAlignment="1">
      <alignment wrapText="1"/>
    </xf>
    <xf numFmtId="165" fontId="0" fillId="0" borderId="0" xfId="1" applyNumberFormat="1" applyFont="1" applyAlignment="1">
      <alignment horizontal="right" wrapText="1" readingOrder="2"/>
    </xf>
    <xf numFmtId="166" fontId="6" fillId="0" borderId="0" xfId="0" applyNumberFormat="1" applyFont="1" applyBorder="1" applyAlignment="1">
      <alignment wrapText="1"/>
    </xf>
    <xf numFmtId="0" fontId="11" fillId="0" borderId="10" xfId="3" applyFont="1" applyFill="1" applyBorder="1" applyAlignment="1">
      <alignment horizontal="right" vertical="center" wrapText="1" readingOrder="2"/>
    </xf>
    <xf numFmtId="0" fontId="19" fillId="0" borderId="0" xfId="0" applyFont="1" applyBorder="1" applyAlignment="1">
      <alignment wrapText="1"/>
    </xf>
    <xf numFmtId="0" fontId="11" fillId="6" borderId="10" xfId="3" applyFont="1" applyFill="1" applyBorder="1" applyAlignment="1">
      <alignment horizontal="right" vertical="center" wrapText="1" readingOrder="2"/>
    </xf>
    <xf numFmtId="0" fontId="6" fillId="4" borderId="0" xfId="0" applyFont="1" applyFill="1" applyBorder="1" applyAlignment="1">
      <alignment wrapText="1"/>
    </xf>
    <xf numFmtId="0" fontId="11" fillId="4" borderId="5" xfId="3" applyFont="1" applyFill="1" applyBorder="1" applyAlignment="1">
      <alignment vertical="center" wrapText="1"/>
    </xf>
    <xf numFmtId="0" fontId="11" fillId="4" borderId="6" xfId="3" applyFont="1" applyFill="1" applyBorder="1" applyAlignment="1">
      <alignment vertical="center" wrapText="1"/>
    </xf>
    <xf numFmtId="0" fontId="11" fillId="4" borderId="27" xfId="3" applyFont="1" applyFill="1" applyBorder="1" applyAlignment="1">
      <alignment vertical="center" wrapText="1"/>
    </xf>
    <xf numFmtId="0" fontId="11" fillId="0" borderId="6" xfId="3" applyFont="1" applyFill="1" applyBorder="1" applyAlignment="1">
      <alignment vertical="center" wrapText="1"/>
    </xf>
    <xf numFmtId="0" fontId="11" fillId="0" borderId="10" xfId="3" applyFont="1" applyFill="1" applyBorder="1" applyAlignment="1">
      <alignment vertical="center" wrapText="1"/>
    </xf>
    <xf numFmtId="164" fontId="0" fillId="0" borderId="6" xfId="1" applyNumberFormat="1" applyFont="1" applyFill="1" applyBorder="1" applyAlignment="1">
      <alignment horizontal="center" wrapText="1"/>
    </xf>
    <xf numFmtId="164" fontId="0" fillId="0" borderId="0" xfId="1" applyNumberFormat="1" applyFont="1"/>
    <xf numFmtId="0" fontId="8" fillId="7" borderId="1" xfId="3" applyFont="1" applyFill="1" applyBorder="1" applyAlignment="1">
      <alignment horizontal="right" vertical="top" wrapText="1"/>
    </xf>
    <xf numFmtId="164" fontId="10" fillId="7" borderId="1" xfId="1" applyNumberFormat="1" applyFont="1" applyFill="1" applyBorder="1" applyAlignment="1" applyProtection="1">
      <alignment horizontal="right" vertical="center" wrapText="1"/>
      <protection locked="0"/>
    </xf>
    <xf numFmtId="0" fontId="8" fillId="7" borderId="12" xfId="3" applyFont="1" applyFill="1" applyBorder="1" applyAlignment="1">
      <alignment horizontal="right" vertical="top" wrapText="1"/>
    </xf>
    <xf numFmtId="164" fontId="10" fillId="7" borderId="12" xfId="1" applyNumberFormat="1" applyFont="1" applyFill="1" applyBorder="1" applyAlignment="1" applyProtection="1">
      <alignment horizontal="right" vertical="center" wrapText="1"/>
      <protection locked="0"/>
    </xf>
    <xf numFmtId="164" fontId="20" fillId="7" borderId="1" xfId="1" applyNumberFormat="1" applyFont="1" applyFill="1" applyBorder="1" applyAlignment="1">
      <alignment horizontal="center" vertical="center" wrapText="1"/>
    </xf>
    <xf numFmtId="0" fontId="0" fillId="0" borderId="0" xfId="0" applyAlignment="1">
      <alignment vertical="top"/>
    </xf>
    <xf numFmtId="0" fontId="6" fillId="0" borderId="0" xfId="0" applyFont="1" applyBorder="1" applyAlignment="1">
      <alignment vertical="top" wrapText="1"/>
    </xf>
    <xf numFmtId="0" fontId="6" fillId="0" borderId="0" xfId="0" applyFont="1" applyFill="1" applyBorder="1" applyAlignment="1">
      <alignment vertical="top" wrapText="1"/>
    </xf>
    <xf numFmtId="43" fontId="21" fillId="0" borderId="0" xfId="1" applyFont="1" applyBorder="1" applyAlignment="1">
      <alignment horizontal="right" vertical="top" wrapText="1"/>
    </xf>
    <xf numFmtId="0" fontId="2" fillId="8" borderId="0" xfId="0" applyFont="1" applyFill="1" applyBorder="1" applyAlignment="1">
      <alignment horizontal="center" vertical="center" wrapText="1"/>
    </xf>
    <xf numFmtId="0" fontId="6" fillId="7" borderId="20" xfId="0" applyFont="1" applyFill="1" applyBorder="1" applyAlignment="1">
      <alignment horizontal="center" vertical="center" wrapText="1"/>
    </xf>
    <xf numFmtId="0" fontId="8" fillId="7" borderId="38" xfId="3" applyFont="1" applyFill="1" applyBorder="1" applyAlignment="1">
      <alignment horizontal="right" vertical="top" wrapText="1"/>
    </xf>
    <xf numFmtId="164" fontId="10" fillId="7" borderId="38" xfId="1" applyNumberFormat="1" applyFont="1" applyFill="1" applyBorder="1" applyAlignment="1" applyProtection="1">
      <alignment horizontal="right" vertical="center" wrapText="1"/>
      <protection locked="0"/>
    </xf>
    <xf numFmtId="164" fontId="9" fillId="7" borderId="39" xfId="1" applyNumberFormat="1" applyFont="1" applyFill="1" applyBorder="1" applyAlignment="1" applyProtection="1">
      <alignment horizontal="center" vertical="center" wrapText="1"/>
      <protection locked="0"/>
    </xf>
    <xf numFmtId="164" fontId="9" fillId="7" borderId="0" xfId="1" applyNumberFormat="1" applyFont="1" applyFill="1" applyBorder="1" applyAlignment="1" applyProtection="1">
      <alignment horizontal="center" vertical="center" wrapText="1"/>
      <protection locked="0"/>
    </xf>
    <xf numFmtId="0" fontId="23" fillId="0" borderId="0" xfId="0" applyFont="1" applyAlignment="1">
      <alignment horizontal="right"/>
    </xf>
    <xf numFmtId="0" fontId="22" fillId="0" borderId="0" xfId="0" applyFont="1" applyAlignment="1">
      <alignment horizontal="right" readingOrder="2"/>
    </xf>
    <xf numFmtId="0" fontId="23" fillId="0" borderId="0" xfId="0" applyFont="1" applyAlignment="1">
      <alignment horizontal="right" readingOrder="2"/>
    </xf>
    <xf numFmtId="0" fontId="3" fillId="0" borderId="0" xfId="0" applyFont="1" applyFill="1" applyBorder="1" applyAlignment="1">
      <alignment horizontal="center" wrapText="1"/>
    </xf>
    <xf numFmtId="164" fontId="24" fillId="7" borderId="0" xfId="1" applyNumberFormat="1" applyFont="1" applyFill="1" applyBorder="1" applyAlignment="1" applyProtection="1">
      <alignment horizontal="center" vertical="center" wrapText="1"/>
      <protection locked="0"/>
    </xf>
    <xf numFmtId="10" fontId="14" fillId="0" borderId="0" xfId="0" applyNumberFormat="1" applyFont="1" applyFill="1" applyBorder="1" applyAlignment="1">
      <alignment horizontal="center" wrapText="1"/>
    </xf>
    <xf numFmtId="164" fontId="14" fillId="0" borderId="0" xfId="1" applyNumberFormat="1" applyFont="1" applyFill="1" applyBorder="1" applyAlignment="1">
      <alignment horizontal="center" wrapText="1"/>
    </xf>
    <xf numFmtId="164" fontId="14" fillId="0" borderId="0" xfId="0" applyNumberFormat="1" applyFont="1" applyFill="1" applyBorder="1" applyAlignment="1">
      <alignment horizontal="center" wrapText="1"/>
    </xf>
    <xf numFmtId="10" fontId="25" fillId="0" borderId="0" xfId="0" applyNumberFormat="1" applyFont="1" applyFill="1" applyBorder="1" applyAlignment="1">
      <alignment horizontal="center" vertical="center" wrapText="1"/>
    </xf>
    <xf numFmtId="164" fontId="25" fillId="0" borderId="0" xfId="1" applyNumberFormat="1" applyFont="1" applyFill="1" applyBorder="1" applyAlignment="1">
      <alignment horizontal="center" wrapText="1"/>
    </xf>
    <xf numFmtId="164" fontId="25" fillId="0" borderId="0" xfId="0" applyNumberFormat="1" applyFont="1" applyFill="1" applyBorder="1" applyAlignment="1">
      <alignment horizontal="center" wrapText="1"/>
    </xf>
    <xf numFmtId="0" fontId="0" fillId="0" borderId="0" xfId="0" applyFill="1" applyAlignment="1">
      <alignment vertical="top" wrapText="1"/>
    </xf>
    <xf numFmtId="0" fontId="6" fillId="6" borderId="0" xfId="0" applyFont="1" applyFill="1" applyBorder="1" applyAlignment="1">
      <alignment vertical="top" wrapText="1"/>
    </xf>
    <xf numFmtId="0" fontId="19" fillId="7" borderId="15" xfId="0" applyFont="1" applyFill="1" applyBorder="1" applyAlignment="1">
      <alignment horizontal="center" vertical="center" wrapText="1"/>
    </xf>
    <xf numFmtId="0" fontId="6" fillId="0" borderId="0" xfId="0" applyFont="1" applyBorder="1" applyAlignment="1">
      <alignment horizontal="right" vertical="top" wrapText="1"/>
    </xf>
    <xf numFmtId="164" fontId="26" fillId="0" borderId="38" xfId="1" applyNumberFormat="1" applyFont="1" applyFill="1" applyBorder="1" applyAlignment="1">
      <alignment horizontal="center" vertical="center" wrapText="1"/>
    </xf>
    <xf numFmtId="0" fontId="19" fillId="7" borderId="0" xfId="0" applyFont="1" applyFill="1" applyBorder="1" applyAlignment="1">
      <alignment horizontal="center" vertical="center" wrapText="1"/>
    </xf>
    <xf numFmtId="0" fontId="8" fillId="7" borderId="0" xfId="3" applyFont="1" applyFill="1" applyBorder="1" applyAlignment="1">
      <alignment horizontal="right" vertical="top" wrapText="1"/>
    </xf>
    <xf numFmtId="164" fontId="10" fillId="7" borderId="0" xfId="1" applyNumberFormat="1" applyFont="1" applyFill="1" applyBorder="1" applyAlignment="1" applyProtection="1">
      <alignment horizontal="right" vertical="center" wrapText="1"/>
      <protection locked="0"/>
    </xf>
    <xf numFmtId="164" fontId="29" fillId="0" borderId="1" xfId="1" applyNumberFormat="1" applyFont="1" applyFill="1" applyBorder="1" applyAlignment="1" applyProtection="1">
      <alignment horizontal="right" vertical="center" wrapText="1"/>
      <protection locked="0"/>
    </xf>
    <xf numFmtId="0" fontId="14" fillId="9" borderId="0" xfId="0" applyFont="1" applyFill="1" applyBorder="1" applyAlignment="1">
      <alignment horizontal="right" wrapText="1"/>
    </xf>
    <xf numFmtId="0" fontId="6" fillId="0" borderId="20" xfId="0" applyFont="1" applyFill="1" applyBorder="1" applyAlignment="1">
      <alignment horizontal="center" vertical="center" wrapText="1"/>
    </xf>
    <xf numFmtId="3" fontId="6" fillId="0" borderId="1" xfId="0" applyNumberFormat="1" applyFont="1" applyBorder="1" applyAlignment="1">
      <alignment horizontal="center" wrapText="1"/>
    </xf>
    <xf numFmtId="3" fontId="9" fillId="7" borderId="0" xfId="1" applyNumberFormat="1" applyFont="1" applyFill="1" applyBorder="1" applyAlignment="1" applyProtection="1">
      <alignment horizontal="center" vertical="center" wrapText="1"/>
      <protection locked="0"/>
    </xf>
    <xf numFmtId="3" fontId="0" fillId="0" borderId="0" xfId="0" applyNumberFormat="1" applyAlignment="1">
      <alignment horizontal="center"/>
    </xf>
    <xf numFmtId="3" fontId="31" fillId="9" borderId="0" xfId="0" applyNumberFormat="1" applyFont="1" applyFill="1" applyBorder="1" applyAlignment="1">
      <alignment horizontal="center" wrapText="1"/>
    </xf>
    <xf numFmtId="3" fontId="14" fillId="0" borderId="0" xfId="0" applyNumberFormat="1" applyFont="1" applyFill="1" applyBorder="1" applyAlignment="1">
      <alignment horizontal="center" wrapText="1"/>
    </xf>
    <xf numFmtId="3" fontId="25" fillId="0" borderId="0" xfId="0" applyNumberFormat="1" applyFont="1" applyFill="1" applyBorder="1" applyAlignment="1">
      <alignment horizontal="center" wrapText="1"/>
    </xf>
    <xf numFmtId="3" fontId="19" fillId="9" borderId="7" xfId="1" applyNumberFormat="1" applyFont="1" applyFill="1" applyBorder="1" applyAlignment="1" applyProtection="1">
      <alignment horizontal="center" vertical="center" wrapText="1"/>
      <protection locked="0"/>
    </xf>
    <xf numFmtId="0" fontId="6" fillId="6" borderId="0" xfId="0" applyFont="1" applyFill="1" applyBorder="1" applyAlignment="1">
      <alignment horizontal="center" vertical="top" wrapText="1"/>
    </xf>
    <xf numFmtId="3" fontId="9" fillId="7" borderId="1" xfId="1" applyNumberFormat="1" applyFont="1" applyFill="1" applyBorder="1" applyAlignment="1" applyProtection="1">
      <alignment horizontal="center" vertical="center" wrapText="1"/>
      <protection locked="0"/>
    </xf>
    <xf numFmtId="0" fontId="5" fillId="3" borderId="3" xfId="0" applyFont="1" applyFill="1" applyBorder="1" applyAlignment="1">
      <alignment horizontal="center" vertical="center" wrapText="1"/>
    </xf>
    <xf numFmtId="0" fontId="6" fillId="6" borderId="45" xfId="0" applyFont="1" applyFill="1" applyBorder="1" applyAlignment="1">
      <alignment vertical="top" wrapText="1"/>
    </xf>
    <xf numFmtId="0" fontId="6" fillId="0" borderId="45" xfId="0" applyFont="1" applyBorder="1" applyAlignment="1">
      <alignment vertical="top" wrapText="1"/>
    </xf>
    <xf numFmtId="9" fontId="9" fillId="7" borderId="1" xfId="1" applyNumberFormat="1" applyFont="1" applyFill="1" applyBorder="1" applyAlignment="1" applyProtection="1">
      <alignment horizontal="center" vertical="center" wrapText="1"/>
      <protection locked="0"/>
    </xf>
    <xf numFmtId="0" fontId="0" fillId="7" borderId="0" xfId="0" applyFill="1" applyAlignment="1">
      <alignment vertical="top" wrapText="1"/>
    </xf>
    <xf numFmtId="10" fontId="5" fillId="3" borderId="1"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3" fontId="5" fillId="3" borderId="3" xfId="0" applyNumberFormat="1" applyFont="1" applyFill="1" applyBorder="1" applyAlignment="1">
      <alignment horizontal="center" vertical="center" wrapText="1"/>
    </xf>
    <xf numFmtId="164" fontId="14" fillId="7" borderId="47" xfId="1" applyNumberFormat="1" applyFont="1" applyFill="1" applyBorder="1" applyAlignment="1" applyProtection="1">
      <alignment horizontal="center" vertical="center" wrapText="1"/>
      <protection locked="0"/>
    </xf>
    <xf numFmtId="3" fontId="19" fillId="9" borderId="48" xfId="1" applyNumberFormat="1" applyFont="1" applyFill="1" applyBorder="1" applyAlignment="1" applyProtection="1">
      <alignment horizontal="center" vertical="center" wrapText="1"/>
      <protection locked="0"/>
    </xf>
    <xf numFmtId="164" fontId="9" fillId="7" borderId="23" xfId="1" applyNumberFormat="1" applyFont="1" applyFill="1" applyBorder="1" applyAlignment="1" applyProtection="1">
      <alignment horizontal="center" vertical="center" wrapText="1"/>
      <protection locked="0"/>
    </xf>
    <xf numFmtId="164" fontId="9" fillId="7" borderId="35" xfId="1" applyNumberFormat="1" applyFont="1" applyFill="1" applyBorder="1" applyAlignment="1" applyProtection="1">
      <alignment horizontal="center" vertical="center" wrapText="1"/>
      <protection locked="0"/>
    </xf>
    <xf numFmtId="164" fontId="9" fillId="7" borderId="49" xfId="1" applyNumberFormat="1" applyFont="1" applyFill="1" applyBorder="1" applyAlignment="1" applyProtection="1">
      <alignment horizontal="center" vertical="center" wrapText="1"/>
      <protection locked="0"/>
    </xf>
    <xf numFmtId="164" fontId="30" fillId="0" borderId="47" xfId="1" applyNumberFormat="1" applyFont="1" applyFill="1" applyBorder="1" applyAlignment="1" applyProtection="1">
      <alignment horizontal="right" vertical="center" wrapText="1"/>
      <protection locked="0"/>
    </xf>
    <xf numFmtId="164" fontId="1" fillId="0" borderId="50" xfId="1" applyNumberFormat="1" applyFill="1" applyBorder="1" applyAlignment="1">
      <alignment horizontal="center" vertical="center" wrapText="1"/>
    </xf>
    <xf numFmtId="164" fontId="9" fillId="0" borderId="50" xfId="1" applyNumberFormat="1" applyFont="1" applyFill="1" applyBorder="1" applyAlignment="1" applyProtection="1">
      <alignment horizontal="center" vertical="center" wrapText="1"/>
      <protection locked="0"/>
    </xf>
    <xf numFmtId="0" fontId="11" fillId="7" borderId="35" xfId="3" applyFont="1" applyFill="1" applyBorder="1" applyAlignment="1">
      <alignment horizontal="center" vertical="top" wrapText="1"/>
    </xf>
    <xf numFmtId="3" fontId="10" fillId="7" borderId="1" xfId="1" applyNumberFormat="1" applyFont="1" applyFill="1" applyBorder="1" applyAlignment="1" applyProtection="1">
      <alignment horizontal="center" vertical="center" wrapText="1"/>
      <protection locked="0"/>
    </xf>
    <xf numFmtId="164" fontId="20" fillId="7" borderId="9" xfId="1" applyNumberFormat="1" applyFont="1" applyFill="1" applyBorder="1" applyAlignment="1">
      <alignment horizontal="center" vertical="center" wrapText="1"/>
    </xf>
    <xf numFmtId="164" fontId="9" fillId="7" borderId="36" xfId="1" applyNumberFormat="1" applyFont="1" applyFill="1" applyBorder="1" applyAlignment="1" applyProtection="1">
      <alignment horizontal="center" vertical="center" wrapText="1"/>
      <protection locked="0"/>
    </xf>
    <xf numFmtId="3" fontId="10" fillId="7" borderId="9" xfId="1" applyNumberFormat="1" applyFont="1" applyFill="1" applyBorder="1" applyAlignment="1" applyProtection="1">
      <alignment horizontal="center" vertical="center" wrapText="1"/>
      <protection locked="0"/>
    </xf>
    <xf numFmtId="43" fontId="6" fillId="6" borderId="0" xfId="1" applyFont="1" applyFill="1" applyBorder="1" applyAlignment="1">
      <alignment horizontal="right" vertical="top" wrapText="1"/>
    </xf>
    <xf numFmtId="164" fontId="34" fillId="0" borderId="10" xfId="1" applyNumberFormat="1" applyFont="1" applyFill="1" applyBorder="1" applyAlignment="1">
      <alignment horizontal="center" vertical="center" wrapText="1"/>
    </xf>
    <xf numFmtId="164" fontId="35" fillId="0" borderId="10" xfId="1" applyNumberFormat="1" applyFont="1" applyFill="1" applyBorder="1" applyAlignment="1">
      <alignment horizontal="center" vertical="center" wrapText="1"/>
    </xf>
    <xf numFmtId="164" fontId="35" fillId="0" borderId="1" xfId="1" applyNumberFormat="1" applyFont="1" applyFill="1" applyBorder="1" applyAlignment="1">
      <alignment horizontal="center" vertical="center" wrapText="1"/>
    </xf>
    <xf numFmtId="0" fontId="5" fillId="3" borderId="9" xfId="0" applyFont="1" applyFill="1" applyBorder="1" applyAlignment="1">
      <alignment horizontal="center" vertical="center" wrapText="1"/>
    </xf>
    <xf numFmtId="164" fontId="29" fillId="0" borderId="9" xfId="1" applyNumberFormat="1" applyFont="1" applyFill="1" applyBorder="1" applyAlignment="1" applyProtection="1">
      <alignment horizontal="right" vertical="center" wrapText="1"/>
      <protection locked="0"/>
    </xf>
    <xf numFmtId="10" fontId="14" fillId="2" borderId="50" xfId="0" applyNumberFormat="1" applyFont="1" applyFill="1" applyBorder="1" applyAlignment="1">
      <alignment horizontal="center" wrapText="1"/>
    </xf>
    <xf numFmtId="3" fontId="31" fillId="9" borderId="57" xfId="0" applyNumberFormat="1" applyFont="1" applyFill="1" applyBorder="1" applyAlignment="1">
      <alignment horizontal="center" wrapText="1"/>
    </xf>
    <xf numFmtId="0" fontId="14" fillId="2" borderId="47" xfId="0" applyFont="1" applyFill="1" applyBorder="1" applyAlignment="1">
      <alignment horizontal="right" wrapText="1"/>
    </xf>
    <xf numFmtId="0" fontId="19" fillId="0" borderId="55" xfId="0" applyFont="1" applyFill="1" applyBorder="1" applyAlignment="1">
      <alignment vertical="center" wrapText="1"/>
    </xf>
    <xf numFmtId="0" fontId="8" fillId="7" borderId="10" xfId="3" applyFont="1" applyFill="1" applyBorder="1" applyAlignment="1">
      <alignment horizontal="right" vertical="top" wrapText="1"/>
    </xf>
    <xf numFmtId="164" fontId="10" fillId="7" borderId="7" xfId="1" applyNumberFormat="1" applyFont="1" applyFill="1" applyBorder="1" applyAlignment="1" applyProtection="1">
      <alignment horizontal="center" vertical="center" wrapText="1"/>
      <protection locked="0"/>
    </xf>
    <xf numFmtId="164" fontId="36" fillId="7" borderId="46" xfId="1" applyNumberFormat="1" applyFont="1" applyFill="1" applyBorder="1" applyAlignment="1" applyProtection="1">
      <alignment horizontal="center" vertical="center" wrapText="1"/>
      <protection locked="0"/>
    </xf>
    <xf numFmtId="164" fontId="10" fillId="7" borderId="18" xfId="1" applyNumberFormat="1" applyFont="1" applyFill="1" applyBorder="1" applyAlignment="1" applyProtection="1">
      <alignment horizontal="center" vertical="center" wrapText="1"/>
      <protection locked="0"/>
    </xf>
    <xf numFmtId="164" fontId="10" fillId="7" borderId="6" xfId="1" applyNumberFormat="1" applyFont="1" applyFill="1" applyBorder="1" applyAlignment="1" applyProtection="1">
      <alignment horizontal="center" vertical="center" wrapText="1"/>
      <protection locked="0"/>
    </xf>
    <xf numFmtId="164" fontId="10" fillId="7" borderId="10" xfId="1" applyNumberFormat="1" applyFont="1" applyFill="1" applyBorder="1" applyAlignment="1" applyProtection="1">
      <alignment horizontal="center" vertical="center" wrapText="1"/>
      <protection locked="0"/>
    </xf>
    <xf numFmtId="3" fontId="9" fillId="7" borderId="7" xfId="1" applyNumberFormat="1" applyFont="1" applyFill="1" applyBorder="1" applyAlignment="1" applyProtection="1">
      <alignment horizontal="center" vertical="center" wrapText="1"/>
      <protection locked="0"/>
    </xf>
    <xf numFmtId="0" fontId="0" fillId="0" borderId="0" xfId="0" applyFill="1" applyBorder="1" applyAlignment="1">
      <alignment wrapText="1"/>
    </xf>
    <xf numFmtId="3" fontId="5" fillId="7" borderId="23" xfId="0" applyNumberFormat="1" applyFont="1" applyFill="1" applyBorder="1" applyAlignment="1">
      <alignment horizontal="center" vertical="center" wrapText="1"/>
    </xf>
    <xf numFmtId="0" fontId="5" fillId="7" borderId="0" xfId="0" applyFont="1" applyFill="1" applyBorder="1" applyAlignment="1">
      <alignment horizontal="center" vertical="center"/>
    </xf>
    <xf numFmtId="0" fontId="25" fillId="7" borderId="1" xfId="3" applyFont="1" applyFill="1" applyBorder="1" applyAlignment="1">
      <alignment horizontal="center" vertical="top" wrapText="1"/>
    </xf>
    <xf numFmtId="0" fontId="25" fillId="7" borderId="35" xfId="3" applyFont="1" applyFill="1" applyBorder="1" applyAlignment="1">
      <alignment horizontal="center" vertical="top" wrapText="1"/>
    </xf>
    <xf numFmtId="3" fontId="25" fillId="7" borderId="1" xfId="3" applyNumberFormat="1" applyFont="1" applyFill="1" applyBorder="1" applyAlignment="1">
      <alignment horizontal="center" vertical="top" wrapText="1"/>
    </xf>
    <xf numFmtId="164" fontId="10" fillId="7" borderId="34" xfId="1" applyNumberFormat="1" applyFont="1" applyFill="1" applyBorder="1" applyAlignment="1" applyProtection="1">
      <alignment horizontal="right" vertical="center" wrapText="1"/>
      <protection locked="0"/>
    </xf>
    <xf numFmtId="164" fontId="20" fillId="7" borderId="10" xfId="1" applyNumberFormat="1" applyFont="1" applyFill="1" applyBorder="1" applyAlignment="1">
      <alignment horizontal="center" vertical="center" wrapText="1"/>
    </xf>
    <xf numFmtId="3" fontId="9" fillId="7" borderId="37" xfId="1" applyNumberFormat="1" applyFont="1" applyFill="1" applyBorder="1" applyAlignment="1" applyProtection="1">
      <alignment horizontal="center" vertical="center" wrapText="1"/>
      <protection locked="0"/>
    </xf>
    <xf numFmtId="164" fontId="10" fillId="7" borderId="10" xfId="1" applyNumberFormat="1" applyFont="1" applyFill="1" applyBorder="1" applyAlignment="1" applyProtection="1">
      <alignment horizontal="right" vertical="center" wrapText="1"/>
      <protection locked="0"/>
    </xf>
    <xf numFmtId="164" fontId="10" fillId="7" borderId="9" xfId="1" applyNumberFormat="1" applyFont="1" applyFill="1" applyBorder="1" applyAlignment="1" applyProtection="1">
      <alignment horizontal="right" vertical="center" wrapText="1"/>
      <protection locked="0"/>
    </xf>
    <xf numFmtId="164" fontId="1" fillId="7" borderId="9" xfId="1" applyNumberFormat="1" applyFill="1" applyBorder="1" applyAlignment="1">
      <alignment horizontal="center" vertical="center" wrapText="1"/>
    </xf>
    <xf numFmtId="3" fontId="9" fillId="7" borderId="32" xfId="1" applyNumberFormat="1" applyFont="1" applyFill="1" applyBorder="1" applyAlignment="1" applyProtection="1">
      <alignment horizontal="center" vertical="center" wrapText="1"/>
      <protection locked="0"/>
    </xf>
    <xf numFmtId="164" fontId="9" fillId="7" borderId="20" xfId="1" applyNumberFormat="1" applyFont="1" applyFill="1" applyBorder="1" applyAlignment="1" applyProtection="1">
      <alignment horizontal="center" vertical="center" wrapText="1"/>
      <protection locked="0"/>
    </xf>
    <xf numFmtId="0" fontId="25" fillId="0" borderId="25" xfId="0" applyFont="1" applyFill="1" applyBorder="1" applyAlignment="1">
      <alignment horizontal="right" vertical="center" wrapText="1"/>
    </xf>
    <xf numFmtId="10" fontId="25" fillId="0" borderId="40" xfId="0" applyNumberFormat="1" applyFont="1" applyFill="1" applyBorder="1" applyAlignment="1">
      <alignment horizontal="center" vertical="center" wrapText="1"/>
    </xf>
    <xf numFmtId="164" fontId="25" fillId="0" borderId="40" xfId="1" applyNumberFormat="1" applyFont="1" applyFill="1" applyBorder="1" applyAlignment="1">
      <alignment horizontal="center" wrapText="1"/>
    </xf>
    <xf numFmtId="164" fontId="25" fillId="0" borderId="40" xfId="0" applyNumberFormat="1" applyFont="1" applyFill="1" applyBorder="1" applyAlignment="1">
      <alignment horizontal="center" wrapText="1"/>
    </xf>
    <xf numFmtId="3" fontId="25" fillId="0" borderId="40" xfId="0" applyNumberFormat="1" applyFont="1" applyFill="1" applyBorder="1" applyAlignment="1">
      <alignment horizontal="center" wrapText="1"/>
    </xf>
    <xf numFmtId="164" fontId="25" fillId="0" borderId="41" xfId="0" applyNumberFormat="1" applyFont="1" applyFill="1" applyBorder="1" applyAlignment="1">
      <alignment horizontal="center" wrapText="1"/>
    </xf>
    <xf numFmtId="0" fontId="14" fillId="0" borderId="20" xfId="0" applyFont="1" applyFill="1" applyBorder="1" applyAlignment="1">
      <alignment horizontal="right" wrapText="1"/>
    </xf>
    <xf numFmtId="164" fontId="14" fillId="0" borderId="58" xfId="0" applyNumberFormat="1" applyFont="1" applyFill="1" applyBorder="1" applyAlignment="1">
      <alignment horizontal="center" wrapText="1"/>
    </xf>
    <xf numFmtId="0" fontId="25" fillId="0" borderId="20" xfId="0" applyFont="1" applyFill="1" applyBorder="1" applyAlignment="1">
      <alignment horizontal="right" vertical="center" wrapText="1"/>
    </xf>
    <xf numFmtId="164" fontId="25" fillId="0" borderId="58" xfId="0" applyNumberFormat="1" applyFont="1" applyFill="1" applyBorder="1" applyAlignment="1">
      <alignment horizontal="center" wrapText="1"/>
    </xf>
    <xf numFmtId="0" fontId="14" fillId="0" borderId="24" xfId="0" applyFont="1" applyFill="1" applyBorder="1" applyAlignment="1">
      <alignment horizontal="right" wrapText="1"/>
    </xf>
    <xf numFmtId="10" fontId="14" fillId="0" borderId="26" xfId="0" applyNumberFormat="1" applyFont="1" applyFill="1" applyBorder="1" applyAlignment="1">
      <alignment horizontal="center" wrapText="1"/>
    </xf>
    <xf numFmtId="164" fontId="14" fillId="0" borderId="26" xfId="1" applyNumberFormat="1" applyFont="1" applyFill="1" applyBorder="1" applyAlignment="1">
      <alignment horizontal="center" wrapText="1"/>
    </xf>
    <xf numFmtId="164" fontId="14" fillId="0" borderId="26" xfId="0" applyNumberFormat="1" applyFont="1" applyFill="1" applyBorder="1" applyAlignment="1">
      <alignment horizontal="center" wrapText="1"/>
    </xf>
    <xf numFmtId="3" fontId="14" fillId="0" borderId="26" xfId="0" applyNumberFormat="1" applyFont="1" applyFill="1" applyBorder="1" applyAlignment="1">
      <alignment horizontal="center" wrapText="1"/>
    </xf>
    <xf numFmtId="164" fontId="14" fillId="0" borderId="59" xfId="0" applyNumberFormat="1" applyFont="1" applyFill="1" applyBorder="1" applyAlignment="1">
      <alignment horizontal="center" wrapText="1"/>
    </xf>
    <xf numFmtId="0" fontId="0" fillId="6" borderId="0" xfId="1" applyNumberFormat="1" applyFont="1" applyFill="1" applyAlignment="1">
      <alignment horizontal="right" vertical="top" wrapText="1" readingOrder="2"/>
    </xf>
    <xf numFmtId="0" fontId="6" fillId="6" borderId="0" xfId="0" applyFont="1" applyFill="1" applyBorder="1" applyAlignment="1">
      <alignment horizontal="right" vertical="top" wrapText="1"/>
    </xf>
    <xf numFmtId="0" fontId="6" fillId="6" borderId="0" xfId="0" applyFont="1" applyFill="1" applyBorder="1" applyAlignment="1">
      <alignment wrapText="1"/>
    </xf>
    <xf numFmtId="0" fontId="8" fillId="7" borderId="56" xfId="3" applyFont="1" applyFill="1" applyBorder="1" applyAlignment="1">
      <alignment horizontal="right" vertical="top" wrapText="1"/>
    </xf>
    <xf numFmtId="164" fontId="9" fillId="7" borderId="38" xfId="1" applyNumberFormat="1" applyFont="1" applyFill="1" applyBorder="1" applyAlignment="1" applyProtection="1">
      <alignment horizontal="center" vertical="center" wrapText="1"/>
      <protection locked="0"/>
    </xf>
    <xf numFmtId="167" fontId="20" fillId="7" borderId="38" xfId="1" applyNumberFormat="1" applyFont="1" applyFill="1" applyBorder="1" applyAlignment="1">
      <alignment horizontal="left" vertical="center" wrapText="1"/>
    </xf>
    <xf numFmtId="0" fontId="6" fillId="4" borderId="5"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15" fillId="4" borderId="10" xfId="3" applyFont="1" applyFill="1" applyBorder="1" applyAlignment="1">
      <alignment horizontal="center" vertical="center" wrapText="1"/>
    </xf>
    <xf numFmtId="0" fontId="15" fillId="0" borderId="6"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22" xfId="0" applyFont="1" applyFill="1" applyBorder="1" applyAlignment="1">
      <alignment horizontal="center" vertical="center" wrapText="1"/>
    </xf>
    <xf numFmtId="0" fontId="6" fillId="4" borderId="30" xfId="0" applyFont="1" applyFill="1" applyBorder="1" applyAlignment="1">
      <alignment horizontal="center" vertical="center" wrapText="1"/>
    </xf>
    <xf numFmtId="0" fontId="6" fillId="4" borderId="32"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11" xfId="0" applyFont="1" applyBorder="1" applyAlignment="1">
      <alignment horizontal="center" vertical="center" wrapText="1"/>
    </xf>
    <xf numFmtId="0" fontId="15" fillId="4" borderId="6" xfId="0" applyFont="1" applyFill="1" applyBorder="1" applyAlignment="1">
      <alignment horizontal="center" vertical="center" wrapText="1"/>
    </xf>
    <xf numFmtId="0" fontId="6" fillId="0" borderId="14"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15"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20"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2" fillId="4" borderId="28" xfId="0" applyFont="1" applyFill="1" applyBorder="1" applyAlignment="1">
      <alignment horizontal="center" vertical="center" wrapText="1"/>
    </xf>
    <xf numFmtId="0" fontId="3" fillId="0" borderId="1" xfId="0" applyFont="1" applyFill="1" applyBorder="1" applyAlignment="1">
      <alignment horizontal="center" wrapText="1"/>
    </xf>
    <xf numFmtId="0" fontId="12" fillId="4" borderId="1" xfId="3" applyFont="1" applyFill="1" applyBorder="1" applyAlignment="1">
      <alignment horizontal="center" vertical="top" wrapText="1"/>
    </xf>
    <xf numFmtId="0" fontId="6" fillId="0" borderId="5"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7" borderId="15" xfId="0" applyFont="1" applyFill="1" applyBorder="1" applyAlignment="1">
      <alignment horizontal="center" vertical="center" wrapText="1"/>
    </xf>
    <xf numFmtId="0" fontId="19" fillId="7" borderId="16" xfId="0" applyFont="1" applyFill="1" applyBorder="1" applyAlignment="1">
      <alignment horizontal="center" vertical="center" wrapText="1"/>
    </xf>
    <xf numFmtId="0" fontId="16" fillId="0" borderId="42" xfId="0" applyFont="1" applyBorder="1" applyAlignment="1">
      <alignment horizontal="center" vertical="center" wrapText="1"/>
    </xf>
    <xf numFmtId="0" fontId="16" fillId="0" borderId="43" xfId="0" applyFont="1" applyBorder="1" applyAlignment="1">
      <alignment horizontal="center" vertical="center" wrapText="1"/>
    </xf>
    <xf numFmtId="0" fontId="14" fillId="4" borderId="39" xfId="3" applyFont="1" applyFill="1" applyBorder="1" applyAlignment="1">
      <alignment horizontal="center" vertical="center" wrapText="1"/>
    </xf>
    <xf numFmtId="0" fontId="14" fillId="4" borderId="0" xfId="3" applyFont="1" applyFill="1" applyBorder="1" applyAlignment="1">
      <alignment horizontal="center" vertical="center" wrapText="1"/>
    </xf>
    <xf numFmtId="0" fontId="19" fillId="0" borderId="53" xfId="0" applyFont="1" applyFill="1" applyBorder="1" applyAlignment="1">
      <alignment horizontal="center" vertical="center" wrapText="1"/>
    </xf>
    <xf numFmtId="0" fontId="19" fillId="0" borderId="54" xfId="0" applyFont="1" applyFill="1" applyBorder="1" applyAlignment="1">
      <alignment horizontal="center" vertical="center" wrapText="1"/>
    </xf>
    <xf numFmtId="0" fontId="6" fillId="7" borderId="1" xfId="3" applyFont="1" applyFill="1" applyBorder="1" applyAlignment="1">
      <alignment horizontal="right" vertical="top" wrapText="1"/>
    </xf>
    <xf numFmtId="0" fontId="6" fillId="7" borderId="9" xfId="3" applyFont="1" applyFill="1" applyBorder="1" applyAlignment="1">
      <alignment horizontal="right" vertical="top" wrapText="1"/>
    </xf>
    <xf numFmtId="0" fontId="2" fillId="8" borderId="26" xfId="0" applyFont="1" applyFill="1" applyBorder="1" applyAlignment="1">
      <alignment horizontal="center" vertical="center"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14" fillId="4" borderId="7" xfId="3" applyFont="1" applyFill="1" applyBorder="1" applyAlignment="1">
      <alignment horizontal="center" vertical="center" wrapText="1"/>
    </xf>
    <xf numFmtId="0" fontId="14" fillId="4" borderId="17" xfId="3" applyFont="1" applyFill="1" applyBorder="1" applyAlignment="1">
      <alignment horizontal="center" vertical="center" wrapText="1"/>
    </xf>
    <xf numFmtId="0" fontId="6" fillId="6" borderId="0" xfId="0" applyFont="1" applyFill="1" applyBorder="1" applyAlignment="1">
      <alignment horizontal="right" vertical="top" wrapText="1"/>
    </xf>
    <xf numFmtId="0" fontId="0" fillId="6" borderId="0" xfId="0" applyFill="1" applyAlignment="1">
      <alignment horizontal="right" vertical="top" wrapText="1"/>
    </xf>
    <xf numFmtId="0" fontId="6" fillId="6" borderId="20" xfId="0" applyFont="1" applyFill="1" applyBorder="1" applyAlignment="1">
      <alignment horizontal="right" vertical="top" wrapText="1"/>
    </xf>
    <xf numFmtId="0" fontId="6" fillId="6" borderId="44" xfId="0" applyFont="1" applyFill="1" applyBorder="1" applyAlignment="1">
      <alignment vertical="top" wrapText="1"/>
    </xf>
    <xf numFmtId="0" fontId="0" fillId="6" borderId="0" xfId="0" applyFill="1" applyAlignment="1">
      <alignment vertical="top" wrapText="1"/>
    </xf>
    <xf numFmtId="0" fontId="5" fillId="3" borderId="20" xfId="0" applyFont="1" applyFill="1" applyBorder="1" applyAlignment="1">
      <alignment horizontal="center" vertical="center" wrapText="1"/>
    </xf>
    <xf numFmtId="0" fontId="5" fillId="3" borderId="56" xfId="0" applyFont="1" applyFill="1" applyBorder="1" applyAlignment="1">
      <alignment horizontal="center" vertical="center" wrapText="1"/>
    </xf>
    <xf numFmtId="0" fontId="14" fillId="4" borderId="23" xfId="3" applyFont="1" applyFill="1" applyBorder="1" applyAlignment="1">
      <alignment horizontal="center" vertical="center" wrapText="1"/>
    </xf>
    <xf numFmtId="0" fontId="14" fillId="4" borderId="28" xfId="3" applyFont="1" applyFill="1" applyBorder="1" applyAlignment="1">
      <alignment horizontal="center" vertical="center" wrapText="1"/>
    </xf>
    <xf numFmtId="0" fontId="5" fillId="3" borderId="20" xfId="0" applyFont="1" applyFill="1" applyBorder="1" applyAlignment="1">
      <alignment horizontal="center" vertical="center"/>
    </xf>
    <xf numFmtId="0" fontId="5" fillId="3" borderId="0" xfId="0" applyFont="1" applyFill="1" applyBorder="1" applyAlignment="1">
      <alignment horizontal="center" vertical="center"/>
    </xf>
    <xf numFmtId="164" fontId="33" fillId="7" borderId="47" xfId="1" applyNumberFormat="1" applyFont="1" applyFill="1" applyBorder="1" applyAlignment="1">
      <alignment horizontal="center" vertical="center" wrapText="1"/>
    </xf>
    <xf numFmtId="164" fontId="33" fillId="7" borderId="51" xfId="1" applyNumberFormat="1" applyFont="1" applyFill="1" applyBorder="1" applyAlignment="1">
      <alignment horizontal="center" vertical="center" wrapText="1"/>
    </xf>
    <xf numFmtId="0" fontId="14" fillId="4" borderId="52" xfId="3" applyFont="1" applyFill="1" applyBorder="1" applyAlignment="1">
      <alignment horizontal="center" vertical="center" wrapText="1"/>
    </xf>
    <xf numFmtId="0" fontId="14" fillId="4" borderId="34" xfId="3" applyFont="1" applyFill="1" applyBorder="1" applyAlignment="1">
      <alignment horizontal="center" vertical="center" wrapText="1"/>
    </xf>
  </cellXfs>
  <cellStyles count="6">
    <cellStyle name="Comma" xfId="1" builtinId="3"/>
    <cellStyle name="Normal" xfId="0" builtinId="0"/>
    <cellStyle name="Normal 2" xfId="4"/>
    <cellStyle name="Percent" xfId="2" builtinId="5"/>
    <cellStyle name="היפר-קישור" xfId="3" builtinId="8"/>
    <cellStyle name="הערה" xfId="5"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428625</xdr:colOff>
      <xdr:row>0</xdr:row>
      <xdr:rowOff>35718</xdr:rowOff>
    </xdr:from>
    <xdr:to>
      <xdr:col>0</xdr:col>
      <xdr:colOff>1157826</xdr:colOff>
      <xdr:row>1</xdr:row>
      <xdr:rowOff>793</xdr:rowOff>
    </xdr:to>
    <xdr:pic>
      <xdr:nvPicPr>
        <xdr:cNvPr id="2" name="תמונה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1316149518" y="35718"/>
          <a:ext cx="729201" cy="508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52161</xdr:colOff>
      <xdr:row>0</xdr:row>
      <xdr:rowOff>38554</xdr:rowOff>
    </xdr:from>
    <xdr:to>
      <xdr:col>0</xdr:col>
      <xdr:colOff>653142</xdr:colOff>
      <xdr:row>0</xdr:row>
      <xdr:rowOff>546554</xdr:rowOff>
    </xdr:to>
    <xdr:pic>
      <xdr:nvPicPr>
        <xdr:cNvPr id="2" name="תמונה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1245419108" y="38554"/>
          <a:ext cx="600981" cy="508000"/>
        </a:xfrm>
        <a:prstGeom prst="rect">
          <a:avLst/>
        </a:prstGeom>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Y150"/>
  <sheetViews>
    <sheetView rightToLeft="1" zoomScale="90" zoomScaleNormal="90" zoomScaleSheetLayoutView="80" workbookViewId="0">
      <pane xSplit="1" ySplit="3" topLeftCell="B103" activePane="bottomRight" state="frozenSplit"/>
      <selection pane="topRight" activeCell="B1" sqref="B1"/>
      <selection pane="bottomLeft" activeCell="A4" sqref="A4"/>
      <selection pane="bottomRight" activeCell="B135" sqref="B135"/>
    </sheetView>
  </sheetViews>
  <sheetFormatPr defaultColWidth="8.875" defaultRowHeight="14.25"/>
  <cols>
    <col min="1" max="1" width="21.5" customWidth="1"/>
    <col min="2" max="2" width="25.375" style="5" customWidth="1"/>
    <col min="3" max="3" width="11.875" customWidth="1"/>
    <col min="5" max="5" width="11.125" customWidth="1"/>
    <col min="6" max="6" width="23" customWidth="1"/>
    <col min="7" max="10" width="0" hidden="1" customWidth="1"/>
    <col min="12" max="12" width="12.375" bestFit="1" customWidth="1"/>
    <col min="13" max="13" width="37.5" customWidth="1"/>
    <col min="14" max="14" width="11.125" bestFit="1" customWidth="1"/>
    <col min="15" max="16" width="12.375" bestFit="1" customWidth="1"/>
    <col min="17" max="17" width="11.125" customWidth="1"/>
  </cols>
  <sheetData>
    <row r="1" spans="1:77" ht="42.75" customHeight="1">
      <c r="B1" s="262" t="s">
        <v>71</v>
      </c>
      <c r="C1" s="262"/>
      <c r="D1" s="262"/>
      <c r="E1" s="262"/>
      <c r="F1" s="262"/>
    </row>
    <row r="2" spans="1:77" s="1" customFormat="1" ht="18">
      <c r="A2" s="6"/>
      <c r="B2" s="16"/>
      <c r="C2" s="17"/>
      <c r="D2" s="18"/>
      <c r="E2" s="263" t="s">
        <v>53</v>
      </c>
      <c r="F2" s="263"/>
    </row>
    <row r="3" spans="1:77" s="1" customFormat="1" ht="37.5" thickBot="1">
      <c r="A3" s="67"/>
      <c r="B3" s="68"/>
      <c r="C3" s="69" t="s">
        <v>0</v>
      </c>
      <c r="D3" s="70"/>
      <c r="E3" s="70" t="s">
        <v>1</v>
      </c>
      <c r="F3" s="70" t="s">
        <v>2</v>
      </c>
      <c r="K3" s="70" t="s">
        <v>1</v>
      </c>
      <c r="L3" s="70" t="s">
        <v>2</v>
      </c>
      <c r="M3" s="1" t="s">
        <v>102</v>
      </c>
      <c r="N3" s="1" t="s">
        <v>123</v>
      </c>
      <c r="O3" s="1">
        <v>250</v>
      </c>
      <c r="P3" s="1" t="s">
        <v>124</v>
      </c>
      <c r="Q3" s="1">
        <v>230</v>
      </c>
    </row>
    <row r="4" spans="1:77" s="3" customFormat="1" ht="30.75" customHeight="1">
      <c r="A4" s="239" t="s">
        <v>3</v>
      </c>
      <c r="B4" s="20" t="s">
        <v>4</v>
      </c>
      <c r="C4" s="22">
        <v>1</v>
      </c>
      <c r="D4" s="21"/>
      <c r="E4" s="22">
        <f>SUM(E5:E37)</f>
        <v>623900</v>
      </c>
      <c r="F4" s="14">
        <f>+$C$4*E4</f>
        <v>623900</v>
      </c>
      <c r="G4" s="2"/>
      <c r="H4" s="2"/>
      <c r="I4" s="2"/>
      <c r="J4" s="2"/>
      <c r="K4" s="92">
        <f>SUM(K5:K37)</f>
        <v>0</v>
      </c>
      <c r="L4" s="93">
        <f>+$C$4*K4</f>
        <v>0</v>
      </c>
      <c r="M4" s="2" t="s">
        <v>100</v>
      </c>
      <c r="N4" s="2" t="s">
        <v>122</v>
      </c>
      <c r="O4" s="2" t="s">
        <v>125</v>
      </c>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row>
    <row r="5" spans="1:77" s="3" customFormat="1" ht="42.75">
      <c r="A5" s="240"/>
      <c r="B5" s="11" t="s">
        <v>5</v>
      </c>
      <c r="C5" s="19"/>
      <c r="D5" s="15"/>
      <c r="E5" s="12">
        <f>(N5*O3)+(Q3*230)</f>
        <v>102900</v>
      </c>
      <c r="F5" s="23"/>
      <c r="G5" s="2"/>
      <c r="H5" s="2"/>
      <c r="I5" s="2"/>
      <c r="J5" s="2"/>
      <c r="K5" s="97"/>
      <c r="L5" s="98"/>
      <c r="M5" s="1" t="s">
        <v>121</v>
      </c>
      <c r="N5" s="2">
        <v>200</v>
      </c>
      <c r="O5" s="2">
        <v>600</v>
      </c>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row>
    <row r="6" spans="1:77" s="3" customFormat="1" ht="15">
      <c r="A6" s="240"/>
      <c r="B6" s="11" t="s">
        <v>6</v>
      </c>
      <c r="C6" s="19"/>
      <c r="D6" s="15"/>
      <c r="E6" s="12"/>
      <c r="F6" s="23"/>
      <c r="G6" s="2"/>
      <c r="H6" s="2"/>
      <c r="I6" s="2"/>
      <c r="J6" s="2"/>
      <c r="K6" s="97"/>
      <c r="L6" s="98"/>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row>
    <row r="7" spans="1:77" s="3" customFormat="1" ht="15">
      <c r="A7" s="240"/>
      <c r="B7" s="11" t="s">
        <v>7</v>
      </c>
      <c r="C7" s="19"/>
      <c r="D7" s="15"/>
      <c r="E7" s="12"/>
      <c r="F7" s="23"/>
      <c r="G7" s="2"/>
      <c r="H7" s="2"/>
      <c r="I7" s="2"/>
      <c r="J7" s="2"/>
      <c r="K7" s="97"/>
      <c r="L7" s="98"/>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row>
    <row r="8" spans="1:77" s="3" customFormat="1" ht="15">
      <c r="A8" s="240"/>
      <c r="B8" s="11" t="s">
        <v>8</v>
      </c>
      <c r="C8" s="19"/>
      <c r="D8" s="15"/>
      <c r="E8" s="12"/>
      <c r="F8" s="23"/>
      <c r="G8" s="2"/>
      <c r="H8" s="2"/>
      <c r="I8" s="2"/>
      <c r="J8" s="2"/>
      <c r="K8" s="97"/>
      <c r="L8" s="98"/>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row>
    <row r="9" spans="1:77" s="3" customFormat="1" ht="15">
      <c r="A9" s="240"/>
      <c r="B9" s="11" t="s">
        <v>9</v>
      </c>
      <c r="C9" s="19"/>
      <c r="D9" s="15"/>
      <c r="E9" s="12"/>
      <c r="F9" s="23"/>
      <c r="G9" s="2"/>
      <c r="H9" s="2"/>
      <c r="I9" s="2"/>
      <c r="J9" s="2"/>
      <c r="K9" s="97"/>
      <c r="L9" s="98"/>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row>
    <row r="10" spans="1:77" s="3" customFormat="1" ht="15">
      <c r="A10" s="240"/>
      <c r="B10" s="11" t="s">
        <v>10</v>
      </c>
      <c r="C10" s="19"/>
      <c r="D10" s="15"/>
      <c r="E10" s="12"/>
      <c r="F10" s="23"/>
      <c r="G10" s="2"/>
      <c r="H10" s="2"/>
      <c r="I10" s="2"/>
      <c r="J10" s="2"/>
      <c r="K10" s="97"/>
      <c r="L10" s="98"/>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row>
    <row r="11" spans="1:77" s="3" customFormat="1" ht="15">
      <c r="A11" s="240"/>
      <c r="B11" s="11" t="s">
        <v>11</v>
      </c>
      <c r="C11" s="19"/>
      <c r="D11" s="15"/>
      <c r="E11" s="12"/>
      <c r="F11" s="23"/>
      <c r="G11" s="2"/>
      <c r="H11" s="2"/>
      <c r="I11" s="2"/>
      <c r="J11" s="2"/>
      <c r="K11" s="97"/>
      <c r="L11" s="98"/>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row>
    <row r="12" spans="1:77" s="3" customFormat="1" ht="15">
      <c r="A12" s="240"/>
      <c r="B12" s="11" t="s">
        <v>12</v>
      </c>
      <c r="C12" s="19"/>
      <c r="D12" s="15"/>
      <c r="E12" s="12"/>
      <c r="F12" s="23"/>
      <c r="G12" s="2"/>
      <c r="H12" s="2"/>
      <c r="I12" s="2"/>
      <c r="J12" s="2"/>
      <c r="K12" s="97"/>
      <c r="L12" s="98"/>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row>
    <row r="13" spans="1:77" s="3" customFormat="1" ht="15">
      <c r="A13" s="240"/>
      <c r="B13" s="11" t="s">
        <v>13</v>
      </c>
      <c r="C13" s="19"/>
      <c r="D13" s="15"/>
      <c r="E13" s="12"/>
      <c r="F13" s="23"/>
      <c r="G13" s="2"/>
      <c r="H13" s="2"/>
      <c r="I13" s="2"/>
      <c r="J13" s="2"/>
      <c r="K13" s="97"/>
      <c r="L13" s="98"/>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row>
    <row r="14" spans="1:77" s="3" customFormat="1" ht="15">
      <c r="A14" s="240"/>
      <c r="B14" s="11" t="s">
        <v>14</v>
      </c>
      <c r="C14" s="19"/>
      <c r="D14" s="15"/>
      <c r="E14" s="12"/>
      <c r="F14" s="23"/>
      <c r="G14" s="2"/>
      <c r="H14" s="2"/>
      <c r="I14" s="2"/>
      <c r="J14" s="2"/>
      <c r="K14" s="97"/>
      <c r="L14" s="98"/>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row>
    <row r="15" spans="1:77" s="3" customFormat="1" ht="15">
      <c r="A15" s="240"/>
      <c r="B15" s="11" t="s">
        <v>15</v>
      </c>
      <c r="C15" s="19"/>
      <c r="D15" s="15"/>
      <c r="E15" s="12"/>
      <c r="F15" s="23"/>
      <c r="G15" s="2"/>
      <c r="H15" s="2"/>
      <c r="I15" s="2"/>
      <c r="J15" s="2"/>
      <c r="K15" s="97"/>
      <c r="L15" s="98"/>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row>
    <row r="16" spans="1:77" s="3" customFormat="1" ht="15">
      <c r="A16" s="240"/>
      <c r="B16" s="11" t="s">
        <v>16</v>
      </c>
      <c r="C16" s="19"/>
      <c r="D16" s="15"/>
      <c r="E16" s="12"/>
      <c r="F16" s="23"/>
      <c r="G16" s="2"/>
      <c r="H16" s="2"/>
      <c r="I16" s="2"/>
      <c r="J16" s="2"/>
      <c r="K16" s="97"/>
      <c r="L16" s="98"/>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row>
    <row r="17" spans="1:77" s="3" customFormat="1" ht="15">
      <c r="A17" s="240"/>
      <c r="B17" s="11" t="s">
        <v>17</v>
      </c>
      <c r="C17" s="19"/>
      <c r="D17" s="15"/>
      <c r="E17" s="12"/>
      <c r="F17" s="23"/>
      <c r="G17" s="2"/>
      <c r="H17" s="2"/>
      <c r="I17" s="2"/>
      <c r="J17" s="2"/>
      <c r="K17" s="97"/>
      <c r="L17" s="98"/>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row>
    <row r="18" spans="1:77" s="3" customFormat="1" ht="15">
      <c r="A18" s="240"/>
      <c r="B18" s="11" t="s">
        <v>18</v>
      </c>
      <c r="C18" s="19"/>
      <c r="D18" s="15"/>
      <c r="E18" s="12"/>
      <c r="F18" s="23"/>
      <c r="G18" s="2"/>
      <c r="H18" s="2"/>
      <c r="I18" s="2"/>
      <c r="J18" s="2"/>
      <c r="K18" s="97"/>
      <c r="L18" s="98"/>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row>
    <row r="19" spans="1:77" s="3" customFormat="1" ht="15">
      <c r="A19" s="240"/>
      <c r="B19" s="11" t="s">
        <v>19</v>
      </c>
      <c r="C19" s="19"/>
      <c r="D19" s="15"/>
      <c r="E19" s="12"/>
      <c r="F19" s="23"/>
      <c r="G19" s="2"/>
      <c r="H19" s="2"/>
      <c r="I19" s="2"/>
      <c r="J19" s="2"/>
      <c r="K19" s="97"/>
      <c r="L19" s="98"/>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row>
    <row r="20" spans="1:77" s="3" customFormat="1" ht="15">
      <c r="A20" s="240"/>
      <c r="B20" s="11" t="s">
        <v>20</v>
      </c>
      <c r="C20" s="19"/>
      <c r="D20" s="15"/>
      <c r="E20" s="12"/>
      <c r="F20" s="23"/>
      <c r="G20" s="2"/>
      <c r="H20" s="2"/>
      <c r="I20" s="2"/>
      <c r="J20" s="2"/>
      <c r="K20" s="97"/>
      <c r="L20" s="98"/>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row>
    <row r="21" spans="1:77" s="3" customFormat="1" ht="15">
      <c r="A21" s="240"/>
      <c r="B21" s="11" t="s">
        <v>21</v>
      </c>
      <c r="C21" s="19"/>
      <c r="D21" s="15"/>
      <c r="E21" s="12"/>
      <c r="F21" s="23"/>
      <c r="G21" s="2"/>
      <c r="H21" s="2"/>
      <c r="I21" s="2"/>
      <c r="J21" s="2"/>
      <c r="K21" s="97"/>
      <c r="L21" s="98"/>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row>
    <row r="22" spans="1:77" s="3" customFormat="1" ht="15">
      <c r="A22" s="240"/>
      <c r="B22" s="11" t="s">
        <v>22</v>
      </c>
      <c r="C22" s="19"/>
      <c r="D22" s="15"/>
      <c r="E22" s="12"/>
      <c r="F22" s="23"/>
      <c r="G22" s="2"/>
      <c r="H22" s="2"/>
      <c r="I22" s="2"/>
      <c r="J22" s="2"/>
      <c r="K22" s="97"/>
      <c r="L22" s="98"/>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row>
    <row r="23" spans="1:77" s="3" customFormat="1" ht="15">
      <c r="A23" s="240"/>
      <c r="B23" s="11" t="s">
        <v>23</v>
      </c>
      <c r="C23" s="19"/>
      <c r="D23" s="15"/>
      <c r="E23" s="12"/>
      <c r="F23" s="23"/>
      <c r="G23" s="2"/>
      <c r="H23" s="2"/>
      <c r="I23" s="2"/>
      <c r="J23" s="2"/>
      <c r="K23" s="97"/>
      <c r="L23" s="98"/>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row>
    <row r="24" spans="1:77" s="3" customFormat="1" ht="15">
      <c r="A24" s="240"/>
      <c r="B24" s="11" t="s">
        <v>24</v>
      </c>
      <c r="C24" s="19"/>
      <c r="D24" s="15"/>
      <c r="E24" s="12"/>
      <c r="F24" s="23"/>
      <c r="G24" s="2"/>
      <c r="H24" s="2"/>
      <c r="I24" s="2"/>
      <c r="J24" s="2"/>
      <c r="K24" s="97"/>
      <c r="L24" s="98"/>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row>
    <row r="25" spans="1:77" s="3" customFormat="1" ht="15">
      <c r="A25" s="240"/>
      <c r="B25" s="11" t="s">
        <v>25</v>
      </c>
      <c r="C25" s="19"/>
      <c r="D25" s="15"/>
      <c r="E25" s="12"/>
      <c r="F25" s="23"/>
      <c r="G25" s="2"/>
      <c r="H25" s="2"/>
      <c r="I25" s="2"/>
      <c r="J25" s="2"/>
      <c r="K25" s="97"/>
      <c r="L25" s="98"/>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row>
    <row r="26" spans="1:77" s="94" customFormat="1" ht="57">
      <c r="A26" s="240"/>
      <c r="B26" s="103" t="s">
        <v>101</v>
      </c>
      <c r="C26" s="95">
        <v>1</v>
      </c>
      <c r="D26" s="96"/>
      <c r="E26" s="97">
        <f>(N26*O3)+(O26*Q3)</f>
        <v>521000</v>
      </c>
      <c r="F26" s="98">
        <f t="shared" ref="F26" si="0">+C26*E26</f>
        <v>521000</v>
      </c>
      <c r="G26" s="111"/>
      <c r="H26" s="111"/>
      <c r="I26" s="111"/>
      <c r="J26" s="111"/>
      <c r="K26" s="97">
        <f>(U26*V3)+(V26*X3)</f>
        <v>0</v>
      </c>
      <c r="L26" s="98">
        <f>+I26*C26</f>
        <v>0</v>
      </c>
      <c r="M26" s="1" t="s">
        <v>127</v>
      </c>
      <c r="N26" s="2">
        <v>750</v>
      </c>
      <c r="O26" s="2">
        <v>1450</v>
      </c>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row>
    <row r="27" spans="1:77" s="3" customFormat="1" ht="15">
      <c r="A27" s="240"/>
      <c r="B27" s="264" t="s">
        <v>128</v>
      </c>
      <c r="C27" s="264"/>
      <c r="D27" s="264"/>
      <c r="E27" s="12"/>
      <c r="F27" s="23"/>
      <c r="G27" s="2"/>
      <c r="H27" s="2"/>
      <c r="I27" s="2"/>
      <c r="J27" s="2"/>
      <c r="K27" s="97"/>
      <c r="L27" s="98"/>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row>
    <row r="28" spans="1:77" s="3" customFormat="1" ht="15">
      <c r="A28" s="240"/>
      <c r="B28" s="11"/>
      <c r="C28" s="19"/>
      <c r="D28" s="15"/>
      <c r="E28" s="12"/>
      <c r="F28" s="23"/>
      <c r="G28" s="2"/>
      <c r="H28" s="2"/>
      <c r="I28" s="2"/>
      <c r="J28" s="2"/>
      <c r="K28" s="97"/>
      <c r="L28" s="98"/>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row>
    <row r="29" spans="1:77" s="3" customFormat="1" ht="15">
      <c r="A29" s="240"/>
      <c r="B29" s="11"/>
      <c r="C29" s="19"/>
      <c r="D29" s="15"/>
      <c r="E29" s="12"/>
      <c r="F29" s="23"/>
      <c r="G29" s="2"/>
      <c r="H29" s="2"/>
      <c r="I29" s="2"/>
      <c r="J29" s="2"/>
      <c r="K29" s="97"/>
      <c r="L29" s="98"/>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row>
    <row r="30" spans="1:77" s="3" customFormat="1" ht="15">
      <c r="A30" s="240"/>
      <c r="B30" s="11"/>
      <c r="C30" s="19"/>
      <c r="D30" s="15"/>
      <c r="E30" s="12"/>
      <c r="F30" s="23"/>
      <c r="G30" s="2"/>
      <c r="H30" s="2"/>
      <c r="I30" s="2"/>
      <c r="J30" s="2"/>
      <c r="K30" s="97"/>
      <c r="L30" s="98"/>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row>
    <row r="31" spans="1:77" s="3" customFormat="1" ht="15">
      <c r="A31" s="240"/>
      <c r="B31" s="11"/>
      <c r="C31" s="19"/>
      <c r="D31" s="15"/>
      <c r="E31" s="12"/>
      <c r="F31" s="23"/>
      <c r="G31" s="2"/>
      <c r="H31" s="2"/>
      <c r="I31" s="2"/>
      <c r="J31" s="2"/>
      <c r="K31" s="97"/>
      <c r="L31" s="98"/>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row>
    <row r="32" spans="1:77" s="3" customFormat="1" ht="15">
      <c r="A32" s="240"/>
      <c r="B32" s="11"/>
      <c r="C32" s="19"/>
      <c r="D32" s="15"/>
      <c r="E32" s="12"/>
      <c r="F32" s="23"/>
      <c r="G32" s="2"/>
      <c r="H32" s="2"/>
      <c r="I32" s="2"/>
      <c r="J32" s="2"/>
      <c r="K32" s="97"/>
      <c r="L32" s="98"/>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row>
    <row r="33" spans="1:77" s="3" customFormat="1" ht="15">
      <c r="A33" s="240"/>
      <c r="B33" s="11"/>
      <c r="C33" s="19"/>
      <c r="D33" s="15"/>
      <c r="E33" s="12"/>
      <c r="F33" s="23"/>
      <c r="G33" s="2"/>
      <c r="H33" s="2"/>
      <c r="I33" s="2"/>
      <c r="J33" s="2"/>
      <c r="K33" s="97"/>
      <c r="L33" s="98"/>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row>
    <row r="34" spans="1:77" s="3" customFormat="1" ht="15">
      <c r="A34" s="240"/>
      <c r="B34" s="11"/>
      <c r="C34" s="19"/>
      <c r="D34" s="15"/>
      <c r="E34" s="12"/>
      <c r="F34" s="23"/>
      <c r="G34" s="2"/>
      <c r="H34" s="2"/>
      <c r="I34" s="2"/>
      <c r="J34" s="2"/>
      <c r="K34" s="97"/>
      <c r="L34" s="98"/>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row>
    <row r="35" spans="1:77" s="3" customFormat="1" ht="15">
      <c r="A35" s="240"/>
      <c r="B35" s="11"/>
      <c r="C35" s="19"/>
      <c r="D35" s="15"/>
      <c r="E35" s="12"/>
      <c r="F35" s="23"/>
      <c r="G35" s="2"/>
      <c r="H35" s="2"/>
      <c r="I35" s="2"/>
      <c r="J35" s="2"/>
      <c r="K35" s="97"/>
      <c r="L35" s="98"/>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row>
    <row r="36" spans="1:77" s="3" customFormat="1" ht="15">
      <c r="A36" s="240"/>
      <c r="B36" s="11"/>
      <c r="C36" s="19"/>
      <c r="D36" s="15"/>
      <c r="E36" s="12"/>
      <c r="F36" s="23"/>
      <c r="G36" s="2"/>
      <c r="H36" s="2"/>
      <c r="I36" s="2"/>
      <c r="J36" s="2"/>
      <c r="K36" s="97"/>
      <c r="L36" s="98"/>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row>
    <row r="37" spans="1:77" s="3" customFormat="1" ht="15.75" thickBot="1">
      <c r="A37" s="241"/>
      <c r="B37" s="24"/>
      <c r="C37" s="34"/>
      <c r="D37" s="26"/>
      <c r="E37" s="25"/>
      <c r="F37" s="27"/>
      <c r="G37" s="2"/>
      <c r="H37" s="2"/>
      <c r="I37" s="2"/>
      <c r="J37" s="2"/>
      <c r="K37" s="25"/>
      <c r="L37" s="27"/>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row>
    <row r="38" spans="1:77" s="3" customFormat="1" ht="28.5">
      <c r="A38" s="265" t="s">
        <v>74</v>
      </c>
      <c r="B38" s="59" t="s">
        <v>26</v>
      </c>
      <c r="C38" s="60">
        <v>15</v>
      </c>
      <c r="D38" s="45"/>
      <c r="E38" s="46"/>
      <c r="F38" s="9">
        <f>+SUM(F39:F43)*C38</f>
        <v>50715000</v>
      </c>
      <c r="G38" s="2"/>
      <c r="H38" s="2"/>
      <c r="I38" s="2"/>
      <c r="J38" s="2"/>
      <c r="K38" s="46"/>
      <c r="L38" s="9">
        <f>+SUM(L39:L43)*I38</f>
        <v>0</v>
      </c>
      <c r="M38" s="109"/>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row>
    <row r="39" spans="1:77" s="3" customFormat="1" ht="15">
      <c r="A39" s="266"/>
      <c r="B39" s="4" t="s">
        <v>62</v>
      </c>
      <c r="C39" s="38">
        <v>1</v>
      </c>
      <c r="D39" s="10"/>
      <c r="E39" s="7">
        <f>250*2100</f>
        <v>525000</v>
      </c>
      <c r="F39" s="29">
        <f>+C39*E39</f>
        <v>525000</v>
      </c>
      <c r="G39" s="2"/>
      <c r="H39" s="2"/>
      <c r="I39" s="2"/>
      <c r="J39" s="2"/>
      <c r="K39" s="99">
        <f>250*2100</f>
        <v>525000</v>
      </c>
      <c r="L39" s="100">
        <f>+I39*K39</f>
        <v>0</v>
      </c>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row>
    <row r="40" spans="1:77" s="3" customFormat="1" ht="15">
      <c r="A40" s="266"/>
      <c r="B40" s="4" t="s">
        <v>63</v>
      </c>
      <c r="C40" s="38">
        <v>1</v>
      </c>
      <c r="D40" s="10"/>
      <c r="E40" s="7">
        <f>230*2100</f>
        <v>483000</v>
      </c>
      <c r="F40" s="29">
        <f t="shared" ref="F40:F43" si="1">+C40*E40</f>
        <v>483000</v>
      </c>
      <c r="G40" s="2"/>
      <c r="H40" s="2"/>
      <c r="I40" s="2"/>
      <c r="J40" s="2"/>
      <c r="K40" s="99">
        <f>230*2100</f>
        <v>483000</v>
      </c>
      <c r="L40" s="100">
        <f t="shared" ref="L40:L43" si="2">+I40*K40</f>
        <v>0</v>
      </c>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row>
    <row r="41" spans="1:77" s="3" customFormat="1" ht="15">
      <c r="A41" s="266"/>
      <c r="B41" s="4" t="s">
        <v>64</v>
      </c>
      <c r="C41" s="38">
        <v>1</v>
      </c>
      <c r="D41" s="10"/>
      <c r="E41" s="7">
        <f>230*2100</f>
        <v>483000</v>
      </c>
      <c r="F41" s="29">
        <f t="shared" si="1"/>
        <v>483000</v>
      </c>
      <c r="G41" s="2"/>
      <c r="H41" s="2"/>
      <c r="I41" s="2"/>
      <c r="J41" s="2"/>
      <c r="K41" s="99">
        <f>230*2100</f>
        <v>483000</v>
      </c>
      <c r="L41" s="100">
        <f t="shared" si="2"/>
        <v>0</v>
      </c>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row>
    <row r="42" spans="1:77" s="3" customFormat="1" ht="15">
      <c r="A42" s="266"/>
      <c r="B42" s="4" t="s">
        <v>65</v>
      </c>
      <c r="C42" s="38">
        <v>2</v>
      </c>
      <c r="D42" s="10"/>
      <c r="E42" s="7">
        <f>230*2100</f>
        <v>483000</v>
      </c>
      <c r="F42" s="29">
        <f t="shared" si="1"/>
        <v>966000</v>
      </c>
      <c r="G42" s="2"/>
      <c r="H42" s="2"/>
      <c r="I42" s="2"/>
      <c r="J42" s="2"/>
      <c r="K42" s="99">
        <f>230*2100</f>
        <v>483000</v>
      </c>
      <c r="L42" s="100">
        <f t="shared" si="2"/>
        <v>0</v>
      </c>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row>
    <row r="43" spans="1:77" s="3" customFormat="1" ht="15.75" thickBot="1">
      <c r="A43" s="267"/>
      <c r="B43" s="52" t="s">
        <v>66</v>
      </c>
      <c r="C43" s="61">
        <v>2</v>
      </c>
      <c r="D43" s="44"/>
      <c r="E43" s="30">
        <f>220*2100</f>
        <v>462000</v>
      </c>
      <c r="F43" s="31">
        <f t="shared" si="1"/>
        <v>924000</v>
      </c>
      <c r="G43" s="2"/>
      <c r="H43" s="2"/>
      <c r="I43" s="2"/>
      <c r="J43" s="2"/>
      <c r="K43" s="30">
        <f>220*2100</f>
        <v>462000</v>
      </c>
      <c r="L43" s="31">
        <f t="shared" si="2"/>
        <v>0</v>
      </c>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row>
    <row r="44" spans="1:77" s="3" customFormat="1" ht="45" customHeight="1">
      <c r="A44" s="245" t="s">
        <v>55</v>
      </c>
      <c r="B44" s="112" t="s">
        <v>75</v>
      </c>
      <c r="C44" s="113"/>
      <c r="D44" s="113"/>
      <c r="E44" s="113"/>
      <c r="F44" s="14">
        <f>+SUM(F45:F52)</f>
        <v>26</v>
      </c>
      <c r="G44" s="2"/>
      <c r="H44" s="2"/>
      <c r="I44" s="2"/>
      <c r="J44" s="2"/>
      <c r="K44" s="113"/>
      <c r="L44" s="93">
        <f>+SUM(L45:L52)</f>
        <v>0</v>
      </c>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row>
    <row r="45" spans="1:77" s="3" customFormat="1" ht="15">
      <c r="A45" s="246"/>
      <c r="B45" s="49" t="s">
        <v>80</v>
      </c>
      <c r="C45" s="35">
        <v>1</v>
      </c>
      <c r="D45" s="15"/>
      <c r="E45" s="12">
        <v>1</v>
      </c>
      <c r="F45" s="23">
        <f>+C45*E45</f>
        <v>1</v>
      </c>
      <c r="G45" s="2"/>
      <c r="H45" s="2"/>
      <c r="I45" s="2"/>
      <c r="J45" s="2"/>
      <c r="K45" s="97">
        <v>1</v>
      </c>
      <c r="L45" s="98">
        <f>+I45*K45</f>
        <v>0</v>
      </c>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row>
    <row r="46" spans="1:77" s="3" customFormat="1" ht="15">
      <c r="A46" s="246"/>
      <c r="B46" s="49" t="s">
        <v>83</v>
      </c>
      <c r="C46" s="35">
        <v>1</v>
      </c>
      <c r="D46" s="15"/>
      <c r="E46" s="12">
        <v>1</v>
      </c>
      <c r="F46" s="23">
        <f>+C46*E46</f>
        <v>1</v>
      </c>
      <c r="G46" s="2"/>
      <c r="H46" s="2"/>
      <c r="I46" s="2"/>
      <c r="J46" s="2"/>
      <c r="K46" s="97">
        <v>1</v>
      </c>
      <c r="L46" s="98">
        <f>+I46*K46</f>
        <v>0</v>
      </c>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row>
    <row r="47" spans="1:77" s="3" customFormat="1" ht="15">
      <c r="A47" s="246"/>
      <c r="B47" s="49" t="s">
        <v>86</v>
      </c>
      <c r="C47" s="35">
        <v>3</v>
      </c>
      <c r="D47" s="15"/>
      <c r="E47" s="12">
        <v>1</v>
      </c>
      <c r="F47" s="23">
        <f>+C47*E47</f>
        <v>3</v>
      </c>
      <c r="G47" s="2"/>
      <c r="H47" s="2"/>
      <c r="I47" s="2"/>
      <c r="J47" s="2"/>
      <c r="K47" s="97">
        <v>1</v>
      </c>
      <c r="L47" s="98">
        <f>+I47*K47</f>
        <v>0</v>
      </c>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row>
    <row r="48" spans="1:77" s="3" customFormat="1" ht="15">
      <c r="A48" s="246"/>
      <c r="B48" s="49" t="s">
        <v>84</v>
      </c>
      <c r="C48" s="35">
        <v>9</v>
      </c>
      <c r="D48" s="15"/>
      <c r="E48" s="12">
        <v>1</v>
      </c>
      <c r="F48" s="23">
        <f>+C48*E48</f>
        <v>9</v>
      </c>
      <c r="G48" s="2"/>
      <c r="H48" s="2"/>
      <c r="I48" s="2"/>
      <c r="J48" s="2"/>
      <c r="K48" s="97">
        <v>1</v>
      </c>
      <c r="L48" s="98">
        <f>+I48*K48</f>
        <v>0</v>
      </c>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row>
    <row r="49" spans="1:77" s="3" customFormat="1" ht="15">
      <c r="A49" s="246"/>
      <c r="B49" s="49" t="s">
        <v>89</v>
      </c>
      <c r="C49" s="35">
        <v>3</v>
      </c>
      <c r="D49" s="15"/>
      <c r="E49" s="12">
        <v>1</v>
      </c>
      <c r="F49" s="23">
        <f>+C49*E49</f>
        <v>3</v>
      </c>
      <c r="G49" s="2"/>
      <c r="H49" s="2"/>
      <c r="I49" s="2"/>
      <c r="J49" s="2"/>
      <c r="K49" s="97">
        <v>1</v>
      </c>
      <c r="L49" s="98">
        <f>+I49*K49</f>
        <v>0</v>
      </c>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row>
    <row r="50" spans="1:77" s="3" customFormat="1" ht="15">
      <c r="A50" s="246"/>
      <c r="B50" s="49" t="s">
        <v>85</v>
      </c>
      <c r="C50" s="35">
        <v>1</v>
      </c>
      <c r="D50" s="15"/>
      <c r="E50" s="12">
        <v>1</v>
      </c>
      <c r="F50" s="23">
        <f t="shared" ref="F50:F52" si="3">+C50*E50</f>
        <v>1</v>
      </c>
      <c r="G50" s="2"/>
      <c r="H50" s="2"/>
      <c r="I50" s="2"/>
      <c r="J50" s="2"/>
      <c r="K50" s="97">
        <v>1</v>
      </c>
      <c r="L50" s="98">
        <f t="shared" ref="L50:L52" si="4">+I50*K50</f>
        <v>0</v>
      </c>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row>
    <row r="51" spans="1:77" s="3" customFormat="1" ht="15">
      <c r="A51" s="247"/>
      <c r="B51" s="49" t="s">
        <v>88</v>
      </c>
      <c r="C51" s="86">
        <v>5</v>
      </c>
      <c r="D51" s="41"/>
      <c r="E51" s="42">
        <v>1</v>
      </c>
      <c r="F51" s="43">
        <f t="shared" si="3"/>
        <v>5</v>
      </c>
      <c r="G51" s="2"/>
      <c r="H51" s="2"/>
      <c r="I51" s="2"/>
      <c r="J51" s="2"/>
      <c r="K51" s="42">
        <v>1</v>
      </c>
      <c r="L51" s="43">
        <f t="shared" si="4"/>
        <v>0</v>
      </c>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row>
    <row r="52" spans="1:77" s="3" customFormat="1" ht="15.75" thickBot="1">
      <c r="A52" s="248"/>
      <c r="B52" s="50" t="s">
        <v>87</v>
      </c>
      <c r="C52" s="36">
        <v>3</v>
      </c>
      <c r="D52" s="26"/>
      <c r="E52" s="25">
        <v>1</v>
      </c>
      <c r="F52" s="27">
        <f t="shared" si="3"/>
        <v>3</v>
      </c>
      <c r="G52" s="2"/>
      <c r="H52" s="2"/>
      <c r="I52" s="2"/>
      <c r="J52" s="2"/>
      <c r="K52" s="25">
        <v>1</v>
      </c>
      <c r="L52" s="27">
        <f t="shared" si="4"/>
        <v>0</v>
      </c>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row>
    <row r="53" spans="1:77" s="3" customFormat="1" ht="15" customHeight="1">
      <c r="A53" s="258" t="s">
        <v>76</v>
      </c>
      <c r="B53" s="116" t="s">
        <v>73</v>
      </c>
      <c r="C53" s="116"/>
      <c r="D53" s="116"/>
      <c r="E53" s="116"/>
      <c r="F53" s="64">
        <f>+SUM(F54:F61)</f>
        <v>248400</v>
      </c>
      <c r="G53" s="2"/>
      <c r="H53" s="2"/>
      <c r="I53" s="2"/>
      <c r="J53" s="2"/>
      <c r="K53" s="116"/>
      <c r="L53" s="64">
        <f>+SUM(L54:L61)</f>
        <v>0</v>
      </c>
      <c r="M53" s="2"/>
      <c r="N53" s="2" t="s">
        <v>108</v>
      </c>
      <c r="O53" s="2" t="s">
        <v>109</v>
      </c>
      <c r="P53" s="2" t="s">
        <v>126</v>
      </c>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row>
    <row r="54" spans="1:77" s="3" customFormat="1" ht="45">
      <c r="A54" s="256"/>
      <c r="B54" s="4" t="s">
        <v>80</v>
      </c>
      <c r="C54" s="38">
        <v>1</v>
      </c>
      <c r="D54" s="80"/>
      <c r="E54" s="108">
        <f>N54*Q3</f>
        <v>6900</v>
      </c>
      <c r="F54" s="64">
        <f>+E54*C54</f>
        <v>6900</v>
      </c>
      <c r="G54" s="2"/>
      <c r="H54" s="2"/>
      <c r="I54" s="2"/>
      <c r="J54" s="2"/>
      <c r="K54" s="108">
        <f>U54*X3</f>
        <v>0</v>
      </c>
      <c r="L54" s="64">
        <f>+K54*I54</f>
        <v>0</v>
      </c>
      <c r="M54" s="2" t="s">
        <v>120</v>
      </c>
      <c r="N54" s="2">
        <v>30</v>
      </c>
      <c r="O54" s="2">
        <v>40</v>
      </c>
      <c r="P54" s="2">
        <v>50</v>
      </c>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row>
    <row r="55" spans="1:77" s="3" customFormat="1" ht="15" customHeight="1">
      <c r="A55" s="256"/>
      <c r="B55" s="4" t="s">
        <v>83</v>
      </c>
      <c r="C55" s="38">
        <v>1</v>
      </c>
      <c r="D55" s="80"/>
      <c r="E55" s="108"/>
      <c r="F55" s="64">
        <f t="shared" ref="F55:F57" si="5">+E55*C55</f>
        <v>0</v>
      </c>
      <c r="G55" s="2"/>
      <c r="H55" s="2"/>
      <c r="I55" s="2"/>
      <c r="J55" s="2"/>
      <c r="K55" s="108"/>
      <c r="L55" s="64">
        <f t="shared" ref="L55:L57" si="6">+K55*I55</f>
        <v>0</v>
      </c>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row>
    <row r="56" spans="1:77" s="3" customFormat="1" ht="15" customHeight="1">
      <c r="A56" s="256"/>
      <c r="B56" s="4" t="s">
        <v>86</v>
      </c>
      <c r="C56" s="38">
        <v>3</v>
      </c>
      <c r="D56" s="85"/>
      <c r="E56" s="110">
        <f>N54*Q3</f>
        <v>6900</v>
      </c>
      <c r="F56" s="64">
        <f t="shared" si="5"/>
        <v>20700</v>
      </c>
      <c r="G56" s="2"/>
      <c r="H56" s="2"/>
      <c r="I56" s="2"/>
      <c r="J56" s="2"/>
      <c r="K56" s="110">
        <f>U54*X3</f>
        <v>0</v>
      </c>
      <c r="L56" s="64">
        <f t="shared" si="6"/>
        <v>0</v>
      </c>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row>
    <row r="57" spans="1:77" s="3" customFormat="1" ht="15" customHeight="1">
      <c r="A57" s="256"/>
      <c r="B57" s="4" t="s">
        <v>84</v>
      </c>
      <c r="C57" s="38">
        <v>9</v>
      </c>
      <c r="D57" s="85"/>
      <c r="E57" s="108">
        <f>O54*Q3</f>
        <v>9200</v>
      </c>
      <c r="F57" s="64">
        <f t="shared" si="5"/>
        <v>82800</v>
      </c>
      <c r="G57" s="2"/>
      <c r="H57" s="2"/>
      <c r="I57" s="2"/>
      <c r="J57" s="2"/>
      <c r="K57" s="108">
        <f>V54*X3</f>
        <v>0</v>
      </c>
      <c r="L57" s="64">
        <f t="shared" si="6"/>
        <v>0</v>
      </c>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row>
    <row r="58" spans="1:77" s="3" customFormat="1" ht="15">
      <c r="A58" s="256"/>
      <c r="B58" s="4" t="s">
        <v>89</v>
      </c>
      <c r="C58" s="38">
        <v>3</v>
      </c>
      <c r="D58" s="10"/>
      <c r="E58" s="108">
        <f t="shared" ref="E58:E60" si="7">50*230</f>
        <v>11500</v>
      </c>
      <c r="F58" s="29">
        <f>+C58*E58</f>
        <v>34500</v>
      </c>
      <c r="G58" s="2"/>
      <c r="H58" s="2"/>
      <c r="I58" s="2"/>
      <c r="J58" s="2"/>
      <c r="K58" s="108">
        <f t="shared" ref="K58:K60" si="8">50*230</f>
        <v>11500</v>
      </c>
      <c r="L58" s="100">
        <f>+I58*K58</f>
        <v>0</v>
      </c>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row>
    <row r="59" spans="1:77" s="3" customFormat="1" ht="15">
      <c r="A59" s="256"/>
      <c r="B59" s="4" t="s">
        <v>85</v>
      </c>
      <c r="C59" s="38">
        <v>1</v>
      </c>
      <c r="D59" s="10"/>
      <c r="E59" s="108">
        <f t="shared" si="7"/>
        <v>11500</v>
      </c>
      <c r="F59" s="29">
        <f>+C59*E59</f>
        <v>11500</v>
      </c>
      <c r="G59" s="2"/>
      <c r="H59" s="2"/>
      <c r="I59" s="2"/>
      <c r="J59" s="2"/>
      <c r="K59" s="108">
        <f t="shared" si="8"/>
        <v>11500</v>
      </c>
      <c r="L59" s="100">
        <f>+I59*K59</f>
        <v>0</v>
      </c>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row>
    <row r="60" spans="1:77" s="3" customFormat="1" ht="15">
      <c r="A60" s="256"/>
      <c r="B60" s="4" t="s">
        <v>88</v>
      </c>
      <c r="C60" s="38">
        <v>5</v>
      </c>
      <c r="D60" s="10"/>
      <c r="E60" s="108">
        <f t="shared" si="7"/>
        <v>11500</v>
      </c>
      <c r="F60" s="29">
        <f t="shared" ref="F60:F61" si="9">+C60*E60</f>
        <v>57500</v>
      </c>
      <c r="G60" s="2"/>
      <c r="H60" s="2"/>
      <c r="I60" s="2"/>
      <c r="J60" s="2"/>
      <c r="K60" s="108">
        <f t="shared" si="8"/>
        <v>11500</v>
      </c>
      <c r="L60" s="100">
        <f t="shared" ref="L60:L61" si="10">+I60*K60</f>
        <v>0</v>
      </c>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row>
    <row r="61" spans="1:77" s="3" customFormat="1" ht="15.75" thickBot="1">
      <c r="A61" s="257"/>
      <c r="B61" s="47" t="s">
        <v>87</v>
      </c>
      <c r="C61" s="61">
        <v>3</v>
      </c>
      <c r="D61" s="44"/>
      <c r="E61" s="108">
        <f>50*230</f>
        <v>11500</v>
      </c>
      <c r="F61" s="31">
        <f t="shared" si="9"/>
        <v>34500</v>
      </c>
      <c r="G61" s="2"/>
      <c r="H61" s="2"/>
      <c r="I61" s="2"/>
      <c r="J61" s="2"/>
      <c r="K61" s="108">
        <f>50*230</f>
        <v>11500</v>
      </c>
      <c r="L61" s="31">
        <f t="shared" si="10"/>
        <v>0</v>
      </c>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row>
    <row r="62" spans="1:77" s="3" customFormat="1" ht="15.75" customHeight="1" thickBot="1">
      <c r="A62" s="259" t="s">
        <v>77</v>
      </c>
      <c r="B62" s="114" t="s">
        <v>70</v>
      </c>
      <c r="C62" s="114"/>
      <c r="D62" s="114"/>
      <c r="E62" s="114"/>
      <c r="F62" s="58">
        <f>SUM(F63,F68,F73,F78,F83,F88,F93,F98)</f>
        <v>5187000</v>
      </c>
      <c r="G62" s="2"/>
      <c r="H62" s="2"/>
      <c r="I62" s="2"/>
      <c r="J62" s="2"/>
      <c r="K62" s="114"/>
      <c r="L62" s="58">
        <f>SUM(L63,L68,L73,L78,L83,L88,L93,L98)</f>
        <v>0</v>
      </c>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row>
    <row r="63" spans="1:77" s="3" customFormat="1" ht="15">
      <c r="A63" s="260"/>
      <c r="B63" s="62" t="s">
        <v>83</v>
      </c>
      <c r="C63" s="63">
        <v>1</v>
      </c>
      <c r="D63" s="21"/>
      <c r="E63" s="55"/>
      <c r="F63" s="14">
        <f>SUM(F64:F67)*C63</f>
        <v>0</v>
      </c>
      <c r="G63" s="2"/>
      <c r="H63" s="2"/>
      <c r="I63" s="2"/>
      <c r="J63" s="2"/>
      <c r="K63" s="55"/>
      <c r="L63" s="93">
        <f>SUM(L64:L67)*I63</f>
        <v>0</v>
      </c>
      <c r="M63" s="2" t="s">
        <v>119</v>
      </c>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row>
    <row r="64" spans="1:77" s="3" customFormat="1" ht="15">
      <c r="A64" s="260"/>
      <c r="B64" s="49" t="s">
        <v>68</v>
      </c>
      <c r="C64" s="35"/>
      <c r="D64" s="15"/>
      <c r="E64" s="12"/>
      <c r="F64" s="23">
        <f>+C64*D64</f>
        <v>0</v>
      </c>
      <c r="G64" s="2"/>
      <c r="H64" s="2"/>
      <c r="I64" s="2"/>
      <c r="J64" s="2"/>
      <c r="K64" s="97"/>
      <c r="L64" s="98">
        <f>+I64*J64</f>
        <v>0</v>
      </c>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row>
    <row r="65" spans="1:77" s="3" customFormat="1" ht="28.5">
      <c r="A65" s="260"/>
      <c r="B65" s="49" t="s">
        <v>67</v>
      </c>
      <c r="C65" s="35"/>
      <c r="D65" s="15"/>
      <c r="E65" s="12"/>
      <c r="F65" s="23">
        <f t="shared" ref="F65:F67" si="11">+C65*D65</f>
        <v>0</v>
      </c>
      <c r="G65" s="2"/>
      <c r="H65" s="2"/>
      <c r="I65" s="2"/>
      <c r="J65" s="2"/>
      <c r="K65" s="97"/>
      <c r="L65" s="98">
        <f t="shared" ref="L65:L67" si="12">+I65*J65</f>
        <v>0</v>
      </c>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row>
    <row r="66" spans="1:77" s="3" customFormat="1" ht="15">
      <c r="A66" s="260"/>
      <c r="B66" s="49"/>
      <c r="C66" s="35"/>
      <c r="D66" s="15"/>
      <c r="E66" s="12"/>
      <c r="F66" s="23">
        <f t="shared" si="11"/>
        <v>0</v>
      </c>
      <c r="G66" s="2"/>
      <c r="H66" s="2"/>
      <c r="I66" s="2"/>
      <c r="J66" s="2"/>
      <c r="K66" s="97"/>
      <c r="L66" s="98">
        <f t="shared" si="12"/>
        <v>0</v>
      </c>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row>
    <row r="67" spans="1:77" s="3" customFormat="1" ht="15.75" thickBot="1">
      <c r="A67" s="260"/>
      <c r="B67" s="50"/>
      <c r="C67" s="36"/>
      <c r="D67" s="26"/>
      <c r="E67" s="25"/>
      <c r="F67" s="23">
        <f t="shared" si="11"/>
        <v>0</v>
      </c>
      <c r="G67" s="2"/>
      <c r="H67" s="2"/>
      <c r="I67" s="2"/>
      <c r="J67" s="2"/>
      <c r="K67" s="25"/>
      <c r="L67" s="98">
        <f t="shared" si="12"/>
        <v>0</v>
      </c>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row>
    <row r="68" spans="1:77" s="3" customFormat="1" ht="15">
      <c r="A68" s="260"/>
      <c r="B68" s="62" t="s">
        <v>81</v>
      </c>
      <c r="C68" s="63">
        <v>1</v>
      </c>
      <c r="D68" s="21"/>
      <c r="E68" s="55"/>
      <c r="F68" s="14">
        <f>SUM(E69:E72)*C68</f>
        <v>135000</v>
      </c>
      <c r="G68" s="2"/>
      <c r="H68" s="2"/>
      <c r="I68" s="2"/>
      <c r="J68" s="2"/>
      <c r="K68" s="55"/>
      <c r="L68" s="93">
        <f>SUM(K69:K72)*I68</f>
        <v>0</v>
      </c>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row>
    <row r="69" spans="1:77" s="3" customFormat="1" ht="15">
      <c r="A69" s="260"/>
      <c r="B69" s="49" t="s">
        <v>68</v>
      </c>
      <c r="C69" s="35"/>
      <c r="D69" s="15"/>
      <c r="E69" s="12">
        <v>135000</v>
      </c>
      <c r="F69" s="23" t="s">
        <v>100</v>
      </c>
      <c r="G69" s="2"/>
      <c r="H69" s="2"/>
      <c r="I69" s="2"/>
      <c r="J69" s="2"/>
      <c r="K69" s="97">
        <v>135000</v>
      </c>
      <c r="L69" s="98" t="s">
        <v>100</v>
      </c>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row>
    <row r="70" spans="1:77" s="3" customFormat="1" ht="28.5">
      <c r="A70" s="260"/>
      <c r="B70" s="49" t="s">
        <v>67</v>
      </c>
      <c r="C70" s="35"/>
      <c r="D70" s="15"/>
      <c r="E70" s="12"/>
      <c r="F70" s="23">
        <f t="shared" ref="F70:F72" si="13">+C70*D70</f>
        <v>0</v>
      </c>
      <c r="G70" s="2"/>
      <c r="H70" s="2"/>
      <c r="I70" s="2"/>
      <c r="J70" s="2"/>
      <c r="K70" s="97"/>
      <c r="L70" s="98">
        <f t="shared" ref="L70:L72" si="14">+I70*J70</f>
        <v>0</v>
      </c>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row>
    <row r="71" spans="1:77" s="3" customFormat="1" ht="15">
      <c r="A71" s="260"/>
      <c r="B71" s="49" t="s">
        <v>69</v>
      </c>
      <c r="C71" s="35"/>
      <c r="D71" s="15"/>
      <c r="E71" s="12"/>
      <c r="F71" s="23">
        <f t="shared" si="13"/>
        <v>0</v>
      </c>
      <c r="G71" s="2"/>
      <c r="H71" s="2"/>
      <c r="I71" s="2"/>
      <c r="J71" s="2"/>
      <c r="K71" s="97"/>
      <c r="L71" s="98">
        <f t="shared" si="14"/>
        <v>0</v>
      </c>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row>
    <row r="72" spans="1:77" s="3" customFormat="1" ht="15.75" thickBot="1">
      <c r="A72" s="260"/>
      <c r="B72" s="50" t="s">
        <v>69</v>
      </c>
      <c r="C72" s="36"/>
      <c r="D72" s="26"/>
      <c r="E72" s="25"/>
      <c r="F72" s="23">
        <f t="shared" si="13"/>
        <v>0</v>
      </c>
      <c r="G72" s="2"/>
      <c r="H72" s="2"/>
      <c r="I72" s="2"/>
      <c r="J72" s="2"/>
      <c r="K72" s="25"/>
      <c r="L72" s="98">
        <f t="shared" si="14"/>
        <v>0</v>
      </c>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row>
    <row r="73" spans="1:77" s="3" customFormat="1" ht="15">
      <c r="A73" s="260"/>
      <c r="B73" s="62" t="s">
        <v>54</v>
      </c>
      <c r="C73" s="63">
        <v>3</v>
      </c>
      <c r="D73" s="21"/>
      <c r="E73" s="55"/>
      <c r="F73" s="14">
        <f>SUM(E74:E77)*C73</f>
        <v>405000</v>
      </c>
      <c r="G73" s="2"/>
      <c r="H73" s="2"/>
      <c r="I73" s="2"/>
      <c r="J73" s="2"/>
      <c r="K73" s="55"/>
      <c r="L73" s="93">
        <f>SUM(K74:K77)*I73</f>
        <v>0</v>
      </c>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row>
    <row r="74" spans="1:77" s="3" customFormat="1" ht="15">
      <c r="A74" s="260"/>
      <c r="B74" s="49" t="s">
        <v>68</v>
      </c>
      <c r="C74" s="35">
        <v>1</v>
      </c>
      <c r="D74" s="15"/>
      <c r="E74" s="12">
        <v>135000</v>
      </c>
      <c r="F74" s="98">
        <f>+E74*C74</f>
        <v>135000</v>
      </c>
      <c r="G74" s="2"/>
      <c r="H74" s="2"/>
      <c r="I74" s="2"/>
      <c r="J74" s="2"/>
      <c r="K74" s="97">
        <v>135000</v>
      </c>
      <c r="L74" s="98">
        <f>+K74*I74</f>
        <v>0</v>
      </c>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row>
    <row r="75" spans="1:77" s="3" customFormat="1" ht="28.5">
      <c r="A75" s="260"/>
      <c r="B75" s="49" t="s">
        <v>67</v>
      </c>
      <c r="C75" s="35"/>
      <c r="D75" s="15"/>
      <c r="E75" s="12"/>
      <c r="F75" s="23">
        <f>+E75*C75</f>
        <v>0</v>
      </c>
      <c r="G75" s="2"/>
      <c r="H75" s="2"/>
      <c r="I75" s="2"/>
      <c r="J75" s="2"/>
      <c r="K75" s="97"/>
      <c r="L75" s="98">
        <f>+K75*I75</f>
        <v>0</v>
      </c>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row>
    <row r="76" spans="1:77" s="3" customFormat="1" ht="15">
      <c r="A76" s="260"/>
      <c r="B76" s="49" t="s">
        <v>69</v>
      </c>
      <c r="C76" s="35"/>
      <c r="D76" s="15"/>
      <c r="E76" s="12"/>
      <c r="F76" s="23">
        <f>+E76*C76</f>
        <v>0</v>
      </c>
      <c r="G76" s="2"/>
      <c r="H76" s="2"/>
      <c r="I76" s="2"/>
      <c r="J76" s="2"/>
      <c r="K76" s="97"/>
      <c r="L76" s="98">
        <f>+K76*I76</f>
        <v>0</v>
      </c>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row>
    <row r="77" spans="1:77" s="3" customFormat="1" ht="15.75" thickBot="1">
      <c r="A77" s="260"/>
      <c r="B77" s="50" t="s">
        <v>69</v>
      </c>
      <c r="C77" s="36"/>
      <c r="D77" s="26"/>
      <c r="E77" s="25"/>
      <c r="F77" s="27">
        <f>+E77*C77</f>
        <v>0</v>
      </c>
      <c r="G77" s="2"/>
      <c r="H77" s="2"/>
      <c r="I77" s="2"/>
      <c r="J77" s="2"/>
      <c r="K77" s="25"/>
      <c r="L77" s="27">
        <f>+K77*I77</f>
        <v>0</v>
      </c>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row>
    <row r="78" spans="1:77" s="3" customFormat="1" ht="18" customHeight="1">
      <c r="A78" s="260"/>
      <c r="B78" s="62" t="s">
        <v>90</v>
      </c>
      <c r="C78" s="63">
        <v>9</v>
      </c>
      <c r="D78" s="21"/>
      <c r="E78" s="55"/>
      <c r="F78" s="14">
        <f>SUM(E79:E82)*C78</f>
        <v>1395000</v>
      </c>
      <c r="G78" s="2"/>
      <c r="H78" s="2"/>
      <c r="I78" s="2"/>
      <c r="J78" s="2"/>
      <c r="K78" s="55"/>
      <c r="L78" s="93">
        <f>SUM(K79:K82)*I78</f>
        <v>0</v>
      </c>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row>
    <row r="79" spans="1:77" s="3" customFormat="1" ht="15">
      <c r="A79" s="260"/>
      <c r="B79" s="49" t="s">
        <v>68</v>
      </c>
      <c r="C79" s="35">
        <v>1</v>
      </c>
      <c r="D79" s="15"/>
      <c r="E79" s="12">
        <v>155000</v>
      </c>
      <c r="F79" s="23">
        <f>+C79*E79</f>
        <v>155000</v>
      </c>
      <c r="G79" s="2"/>
      <c r="H79" s="2"/>
      <c r="I79" s="2"/>
      <c r="J79" s="2"/>
      <c r="K79" s="97">
        <v>155000</v>
      </c>
      <c r="L79" s="98">
        <f>+I79*K79</f>
        <v>0</v>
      </c>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row>
    <row r="80" spans="1:77" s="3" customFormat="1" ht="28.5">
      <c r="A80" s="260"/>
      <c r="B80" s="49" t="s">
        <v>67</v>
      </c>
      <c r="C80" s="35"/>
      <c r="D80" s="15"/>
      <c r="E80" s="12"/>
      <c r="F80" s="23">
        <f t="shared" ref="F80:F82" si="15">+C80*E80</f>
        <v>0</v>
      </c>
      <c r="G80" s="2"/>
      <c r="H80" s="2"/>
      <c r="I80" s="2"/>
      <c r="J80" s="2"/>
      <c r="K80" s="97"/>
      <c r="L80" s="98">
        <f t="shared" ref="L80:L82" si="16">+I80*K80</f>
        <v>0</v>
      </c>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row>
    <row r="81" spans="1:77" s="3" customFormat="1" ht="15">
      <c r="A81" s="260"/>
      <c r="B81" s="49" t="s">
        <v>69</v>
      </c>
      <c r="C81" s="35"/>
      <c r="D81" s="15"/>
      <c r="E81" s="12"/>
      <c r="F81" s="23">
        <f t="shared" si="15"/>
        <v>0</v>
      </c>
      <c r="G81" s="2"/>
      <c r="H81" s="2"/>
      <c r="I81" s="2"/>
      <c r="J81" s="2"/>
      <c r="K81" s="97"/>
      <c r="L81" s="98">
        <f t="shared" si="16"/>
        <v>0</v>
      </c>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row>
    <row r="82" spans="1:77" s="3" customFormat="1" ht="15.75" thickBot="1">
      <c r="A82" s="260"/>
      <c r="B82" s="50" t="s">
        <v>69</v>
      </c>
      <c r="C82" s="36"/>
      <c r="D82" s="26"/>
      <c r="E82" s="25"/>
      <c r="F82" s="23">
        <f t="shared" si="15"/>
        <v>0</v>
      </c>
      <c r="G82" s="2"/>
      <c r="H82" s="2"/>
      <c r="I82" s="2"/>
      <c r="J82" s="2"/>
      <c r="K82" s="25"/>
      <c r="L82" s="98">
        <f t="shared" si="16"/>
        <v>0</v>
      </c>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row>
    <row r="83" spans="1:77" s="3" customFormat="1" ht="15">
      <c r="A83" s="260"/>
      <c r="B83" s="62" t="s">
        <v>91</v>
      </c>
      <c r="C83" s="63">
        <v>3</v>
      </c>
      <c r="D83" s="21"/>
      <c r="E83" s="55"/>
      <c r="F83" s="14">
        <f>SUM(E84:E87)*C83</f>
        <v>465000</v>
      </c>
      <c r="G83" s="2"/>
      <c r="H83" s="2"/>
      <c r="I83" s="2"/>
      <c r="J83" s="2"/>
      <c r="K83" s="55"/>
      <c r="L83" s="93">
        <f>SUM(K84:K87)*I83</f>
        <v>0</v>
      </c>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row>
    <row r="84" spans="1:77" s="3" customFormat="1" ht="15">
      <c r="A84" s="260"/>
      <c r="B84" s="49" t="s">
        <v>68</v>
      </c>
      <c r="C84" s="35">
        <v>1</v>
      </c>
      <c r="D84" s="15"/>
      <c r="E84" s="12">
        <v>155000</v>
      </c>
      <c r="F84" s="23">
        <f>+C84*E84</f>
        <v>155000</v>
      </c>
      <c r="G84" s="2"/>
      <c r="H84" s="2"/>
      <c r="I84" s="2"/>
      <c r="J84" s="2"/>
      <c r="K84" s="97">
        <v>155000</v>
      </c>
      <c r="L84" s="98">
        <f>+I84*K84</f>
        <v>0</v>
      </c>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row>
    <row r="85" spans="1:77" s="3" customFormat="1" ht="28.5">
      <c r="A85" s="260"/>
      <c r="B85" s="49" t="s">
        <v>67</v>
      </c>
      <c r="C85" s="35"/>
      <c r="D85" s="15"/>
      <c r="E85" s="12"/>
      <c r="F85" s="23">
        <f t="shared" ref="F85:F87" si="17">+C85*E85</f>
        <v>0</v>
      </c>
      <c r="G85" s="2"/>
      <c r="H85" s="2"/>
      <c r="I85" s="2"/>
      <c r="J85" s="2"/>
      <c r="K85" s="97"/>
      <c r="L85" s="98">
        <f t="shared" ref="L85:L87" si="18">+I85*K85</f>
        <v>0</v>
      </c>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row>
    <row r="86" spans="1:77" s="3" customFormat="1" ht="15" customHeight="1">
      <c r="A86" s="260"/>
      <c r="B86" s="49" t="s">
        <v>69</v>
      </c>
      <c r="C86" s="35"/>
      <c r="D86" s="15"/>
      <c r="E86" s="12"/>
      <c r="F86" s="23">
        <f t="shared" si="17"/>
        <v>0</v>
      </c>
      <c r="G86" s="2"/>
      <c r="H86" s="2"/>
      <c r="I86" s="2"/>
      <c r="J86" s="2"/>
      <c r="K86" s="97"/>
      <c r="L86" s="98">
        <f t="shared" si="18"/>
        <v>0</v>
      </c>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row>
    <row r="87" spans="1:77" s="3" customFormat="1" ht="15.75" thickBot="1">
      <c r="A87" s="260"/>
      <c r="B87" s="50" t="s">
        <v>69</v>
      </c>
      <c r="C87" s="36"/>
      <c r="D87" s="26"/>
      <c r="E87" s="25"/>
      <c r="F87" s="23">
        <f t="shared" si="17"/>
        <v>0</v>
      </c>
      <c r="G87" s="2"/>
      <c r="H87" s="2"/>
      <c r="I87" s="2"/>
      <c r="J87" s="2"/>
      <c r="K87" s="25"/>
      <c r="L87" s="98">
        <f t="shared" si="18"/>
        <v>0</v>
      </c>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row>
    <row r="88" spans="1:77" s="3" customFormat="1" ht="15">
      <c r="A88" s="260"/>
      <c r="B88" s="62" t="s">
        <v>92</v>
      </c>
      <c r="C88" s="63">
        <v>1</v>
      </c>
      <c r="D88" s="21"/>
      <c r="E88" s="55"/>
      <c r="F88" s="14">
        <f>SUM(E89:E92)*C88</f>
        <v>271000</v>
      </c>
      <c r="G88" s="2"/>
      <c r="H88" s="2"/>
      <c r="I88" s="2"/>
      <c r="J88" s="2"/>
      <c r="K88" s="55"/>
      <c r="L88" s="93">
        <f>SUM(K89:K92)*I88</f>
        <v>0</v>
      </c>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row>
    <row r="89" spans="1:77" s="3" customFormat="1" ht="15">
      <c r="A89" s="260"/>
      <c r="B89" s="49" t="s">
        <v>68</v>
      </c>
      <c r="C89" s="35">
        <v>1</v>
      </c>
      <c r="D89" s="15"/>
      <c r="E89" s="12">
        <v>271000</v>
      </c>
      <c r="F89" s="23">
        <f>+E89*C89</f>
        <v>271000</v>
      </c>
      <c r="G89" s="2"/>
      <c r="H89" s="2"/>
      <c r="I89" s="2"/>
      <c r="J89" s="2"/>
      <c r="K89" s="97">
        <v>271000</v>
      </c>
      <c r="L89" s="98">
        <f>+K89*I89</f>
        <v>0</v>
      </c>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row>
    <row r="90" spans="1:77" s="3" customFormat="1" ht="28.5">
      <c r="A90" s="260"/>
      <c r="B90" s="49" t="s">
        <v>67</v>
      </c>
      <c r="C90" s="35"/>
      <c r="D90" s="15"/>
      <c r="E90" s="12"/>
      <c r="F90" s="23">
        <f t="shared" ref="F90:F92" si="19">+E90*C90</f>
        <v>0</v>
      </c>
      <c r="G90" s="2"/>
      <c r="H90" s="2"/>
      <c r="I90" s="2"/>
      <c r="J90" s="2"/>
      <c r="K90" s="97"/>
      <c r="L90" s="98">
        <f t="shared" ref="L90:L92" si="20">+K90*I90</f>
        <v>0</v>
      </c>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row>
    <row r="91" spans="1:77" s="3" customFormat="1" ht="15" customHeight="1">
      <c r="A91" s="260"/>
      <c r="B91" s="49" t="s">
        <v>69</v>
      </c>
      <c r="C91" s="35"/>
      <c r="D91" s="15"/>
      <c r="E91" s="12"/>
      <c r="F91" s="23">
        <f t="shared" si="19"/>
        <v>0</v>
      </c>
      <c r="G91" s="2"/>
      <c r="H91" s="2"/>
      <c r="I91" s="2"/>
      <c r="J91" s="2"/>
      <c r="K91" s="97"/>
      <c r="L91" s="98">
        <f t="shared" si="20"/>
        <v>0</v>
      </c>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row>
    <row r="92" spans="1:77" s="3" customFormat="1" ht="15.75" thickBot="1">
      <c r="A92" s="260"/>
      <c r="B92" s="50" t="s">
        <v>69</v>
      </c>
      <c r="C92" s="36"/>
      <c r="D92" s="26"/>
      <c r="E92" s="25"/>
      <c r="F92" s="23">
        <f t="shared" si="19"/>
        <v>0</v>
      </c>
      <c r="G92" s="2"/>
      <c r="H92" s="2"/>
      <c r="I92" s="2"/>
      <c r="J92" s="2"/>
      <c r="K92" s="25"/>
      <c r="L92" s="98">
        <f t="shared" si="20"/>
        <v>0</v>
      </c>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row>
    <row r="93" spans="1:77" s="3" customFormat="1" ht="15">
      <c r="A93" s="260"/>
      <c r="B93" s="62" t="s">
        <v>93</v>
      </c>
      <c r="C93" s="63">
        <v>5</v>
      </c>
      <c r="D93" s="21"/>
      <c r="E93" s="55"/>
      <c r="F93" s="14">
        <f>SUM(E94:E97)*C93</f>
        <v>1355000</v>
      </c>
      <c r="G93" s="2"/>
      <c r="H93" s="2"/>
      <c r="I93" s="2"/>
      <c r="J93" s="2"/>
      <c r="K93" s="55"/>
      <c r="L93" s="93">
        <f>SUM(K94:K97)*I93</f>
        <v>0</v>
      </c>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row>
    <row r="94" spans="1:77" s="3" customFormat="1" ht="15" customHeight="1">
      <c r="A94" s="260"/>
      <c r="B94" s="49" t="s">
        <v>68</v>
      </c>
      <c r="C94" s="35">
        <v>1</v>
      </c>
      <c r="D94" s="15"/>
      <c r="E94" s="12">
        <v>271000</v>
      </c>
      <c r="F94" s="23">
        <f>+E94*C94</f>
        <v>271000</v>
      </c>
      <c r="G94" s="2"/>
      <c r="H94" s="2"/>
      <c r="I94" s="2"/>
      <c r="J94" s="2"/>
      <c r="K94" s="97">
        <v>271000</v>
      </c>
      <c r="L94" s="98">
        <f>+K94*I94</f>
        <v>0</v>
      </c>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row>
    <row r="95" spans="1:77" s="3" customFormat="1" ht="15" customHeight="1">
      <c r="A95" s="260"/>
      <c r="B95" s="49" t="s">
        <v>67</v>
      </c>
      <c r="C95" s="35"/>
      <c r="D95" s="15"/>
      <c r="E95" s="12"/>
      <c r="F95" s="23">
        <f t="shared" ref="F95:F97" si="21">+E95*C95</f>
        <v>0</v>
      </c>
      <c r="G95" s="2"/>
      <c r="H95" s="2"/>
      <c r="I95" s="2"/>
      <c r="J95" s="2"/>
      <c r="K95" s="97"/>
      <c r="L95" s="98">
        <f t="shared" ref="L95:L97" si="22">+K95*I95</f>
        <v>0</v>
      </c>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row>
    <row r="96" spans="1:77" s="3" customFormat="1" ht="15">
      <c r="A96" s="260"/>
      <c r="B96" s="49" t="s">
        <v>69</v>
      </c>
      <c r="C96" s="35"/>
      <c r="D96" s="15"/>
      <c r="E96" s="12"/>
      <c r="F96" s="23">
        <f t="shared" si="21"/>
        <v>0</v>
      </c>
      <c r="G96" s="2"/>
      <c r="H96" s="2"/>
      <c r="I96" s="2"/>
      <c r="J96" s="2"/>
      <c r="K96" s="97"/>
      <c r="L96" s="98">
        <f t="shared" si="22"/>
        <v>0</v>
      </c>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row>
    <row r="97" spans="1:77" s="3" customFormat="1" ht="15.75" thickBot="1">
      <c r="A97" s="260"/>
      <c r="B97" s="50" t="s">
        <v>69</v>
      </c>
      <c r="C97" s="36"/>
      <c r="D97" s="26"/>
      <c r="E97" s="25"/>
      <c r="F97" s="23">
        <f t="shared" si="21"/>
        <v>0</v>
      </c>
      <c r="G97" s="2"/>
      <c r="H97" s="2"/>
      <c r="I97" s="2"/>
      <c r="J97" s="2"/>
      <c r="K97" s="25"/>
      <c r="L97" s="98">
        <f t="shared" si="22"/>
        <v>0</v>
      </c>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row>
    <row r="98" spans="1:77" s="3" customFormat="1" ht="15">
      <c r="A98" s="260"/>
      <c r="B98" s="62" t="s">
        <v>82</v>
      </c>
      <c r="C98" s="63">
        <v>3</v>
      </c>
      <c r="D98" s="21"/>
      <c r="E98" s="55"/>
      <c r="F98" s="14">
        <f>SUM(E99:E102)*C98</f>
        <v>1161000</v>
      </c>
      <c r="G98" s="2"/>
      <c r="H98" s="2"/>
      <c r="I98" s="2"/>
      <c r="J98" s="2"/>
      <c r="K98" s="55"/>
      <c r="L98" s="93">
        <f>SUM(K99:K102)*I98</f>
        <v>0</v>
      </c>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row>
    <row r="99" spans="1:77" s="3" customFormat="1" ht="15">
      <c r="A99" s="260"/>
      <c r="B99" s="49" t="s">
        <v>68</v>
      </c>
      <c r="C99" s="35">
        <v>1</v>
      </c>
      <c r="D99" s="15"/>
      <c r="E99" s="12">
        <v>387000</v>
      </c>
      <c r="F99" s="23">
        <f>+E99*C99</f>
        <v>387000</v>
      </c>
      <c r="G99" s="2"/>
      <c r="H99" s="2"/>
      <c r="I99" s="2"/>
      <c r="J99" s="2"/>
      <c r="K99" s="97">
        <v>387000</v>
      </c>
      <c r="L99" s="98">
        <f>+K99*I99</f>
        <v>0</v>
      </c>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row>
    <row r="100" spans="1:77" s="3" customFormat="1" ht="28.5">
      <c r="A100" s="260"/>
      <c r="B100" s="49" t="s">
        <v>67</v>
      </c>
      <c r="C100" s="35"/>
      <c r="D100" s="15"/>
      <c r="E100" s="12"/>
      <c r="F100" s="23">
        <f t="shared" ref="F100:F102" si="23">+E100*C100</f>
        <v>0</v>
      </c>
      <c r="G100" s="2"/>
      <c r="H100" s="2"/>
      <c r="I100" s="2"/>
      <c r="J100" s="2"/>
      <c r="K100" s="97"/>
      <c r="L100" s="98">
        <f t="shared" ref="L100:L102" si="24">+K100*I100</f>
        <v>0</v>
      </c>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row>
    <row r="101" spans="1:77" s="3" customFormat="1" ht="15">
      <c r="A101" s="260"/>
      <c r="B101" s="49" t="s">
        <v>69</v>
      </c>
      <c r="C101" s="35"/>
      <c r="D101" s="15"/>
      <c r="E101" s="12"/>
      <c r="F101" s="23">
        <f t="shared" si="23"/>
        <v>0</v>
      </c>
      <c r="G101" s="2"/>
      <c r="H101" s="2"/>
      <c r="I101" s="2"/>
      <c r="J101" s="2"/>
      <c r="K101" s="97"/>
      <c r="L101" s="98">
        <f t="shared" si="24"/>
        <v>0</v>
      </c>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row>
    <row r="102" spans="1:77" s="3" customFormat="1" ht="15.75" thickBot="1">
      <c r="A102" s="261"/>
      <c r="B102" s="50" t="s">
        <v>69</v>
      </c>
      <c r="C102" s="36"/>
      <c r="D102" s="26"/>
      <c r="E102" s="25"/>
      <c r="F102" s="27">
        <f t="shared" si="23"/>
        <v>0</v>
      </c>
      <c r="G102" s="2"/>
      <c r="H102" s="2"/>
      <c r="I102" s="2"/>
      <c r="J102" s="2"/>
      <c r="K102" s="25"/>
      <c r="L102" s="27">
        <f t="shared" si="24"/>
        <v>0</v>
      </c>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row>
    <row r="103" spans="1:77" s="3" customFormat="1" ht="15" customHeight="1">
      <c r="A103" s="253" t="s">
        <v>56</v>
      </c>
      <c r="B103" s="115" t="s">
        <v>72</v>
      </c>
      <c r="C103" s="115"/>
      <c r="D103" s="115"/>
      <c r="E103" s="115"/>
      <c r="F103" s="9">
        <f>SUM(F104:F111)</f>
        <v>363250333</v>
      </c>
      <c r="G103" s="2"/>
      <c r="H103" s="2"/>
      <c r="I103" s="2"/>
      <c r="J103" s="2"/>
      <c r="K103" s="115"/>
      <c r="L103" s="9">
        <f>SUM(L104:L111)</f>
        <v>0</v>
      </c>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row>
    <row r="104" spans="1:77" s="3" customFormat="1" ht="15">
      <c r="A104" s="254"/>
      <c r="B104" s="4" t="s">
        <v>80</v>
      </c>
      <c r="C104" s="37">
        <v>1</v>
      </c>
      <c r="D104" s="10"/>
      <c r="E104" s="7">
        <f>N108</f>
        <v>341712</v>
      </c>
      <c r="F104" s="29">
        <f>+E104*C104</f>
        <v>341712</v>
      </c>
      <c r="G104" s="2"/>
      <c r="H104" s="2"/>
      <c r="I104" s="2"/>
      <c r="J104" s="2"/>
      <c r="K104" s="99">
        <f>U108</f>
        <v>0</v>
      </c>
      <c r="L104" s="100">
        <f>+K104*I104</f>
        <v>0</v>
      </c>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row>
    <row r="105" spans="1:77" s="3" customFormat="1" ht="15">
      <c r="A105" s="254"/>
      <c r="B105" s="4" t="s">
        <v>83</v>
      </c>
      <c r="C105" s="37">
        <v>1</v>
      </c>
      <c r="D105" s="10"/>
      <c r="E105" s="7">
        <v>1</v>
      </c>
      <c r="F105" s="29">
        <f>+C105*E105</f>
        <v>1</v>
      </c>
      <c r="G105" s="2"/>
      <c r="H105" s="2"/>
      <c r="I105" s="2"/>
      <c r="J105" s="2"/>
      <c r="K105" s="99">
        <v>1</v>
      </c>
      <c r="L105" s="100">
        <f>+I105*K105</f>
        <v>0</v>
      </c>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row>
    <row r="106" spans="1:77" s="3" customFormat="1" ht="15">
      <c r="A106" s="254"/>
      <c r="B106" s="4" t="s">
        <v>86</v>
      </c>
      <c r="C106" s="37" t="s">
        <v>57</v>
      </c>
      <c r="D106" s="10"/>
      <c r="E106" s="7">
        <f>N108</f>
        <v>341712</v>
      </c>
      <c r="F106" s="29">
        <f>3*20*E106</f>
        <v>20502720</v>
      </c>
      <c r="G106" s="2"/>
      <c r="H106" s="2"/>
      <c r="I106" s="2"/>
      <c r="J106" s="2"/>
      <c r="K106" s="99">
        <f>U108</f>
        <v>0</v>
      </c>
      <c r="L106" s="100">
        <f>3*20*K106</f>
        <v>0</v>
      </c>
      <c r="M106" s="2"/>
      <c r="N106" s="2" t="s">
        <v>108</v>
      </c>
      <c r="O106" s="2" t="s">
        <v>109</v>
      </c>
      <c r="P106" s="2" t="s">
        <v>110</v>
      </c>
      <c r="Q106" s="2" t="s">
        <v>111</v>
      </c>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row>
    <row r="107" spans="1:77" s="3" customFormat="1" ht="15">
      <c r="A107" s="254"/>
      <c r="B107" s="4" t="s">
        <v>84</v>
      </c>
      <c r="C107" s="37" t="s">
        <v>94</v>
      </c>
      <c r="D107" s="10"/>
      <c r="E107" s="7">
        <f>O108</f>
        <v>512568</v>
      </c>
      <c r="F107" s="29">
        <f>9*20*E107</f>
        <v>92262240</v>
      </c>
      <c r="G107" s="2"/>
      <c r="H107" s="2"/>
      <c r="I107" s="2"/>
      <c r="J107" s="2"/>
      <c r="K107" s="99">
        <f>V108</f>
        <v>0</v>
      </c>
      <c r="L107" s="100">
        <f>9*20*K107</f>
        <v>0</v>
      </c>
      <c r="M107" s="104" t="s">
        <v>112</v>
      </c>
      <c r="N107" s="2"/>
      <c r="O107" s="104">
        <v>683424</v>
      </c>
      <c r="P107" s="104">
        <v>1073424</v>
      </c>
      <c r="Q107" s="104">
        <v>1428241</v>
      </c>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row>
    <row r="108" spans="1:77" s="3" customFormat="1" ht="42.75">
      <c r="A108" s="254"/>
      <c r="B108" s="4" t="s">
        <v>89</v>
      </c>
      <c r="C108" s="37" t="s">
        <v>57</v>
      </c>
      <c r="D108" s="10"/>
      <c r="E108" s="7">
        <f>O107</f>
        <v>683424</v>
      </c>
      <c r="F108" s="29">
        <f>3*20*E108</f>
        <v>41005440</v>
      </c>
      <c r="G108" s="2"/>
      <c r="H108" s="2"/>
      <c r="I108" s="2"/>
      <c r="J108" s="2"/>
      <c r="K108" s="99">
        <f>V107</f>
        <v>0</v>
      </c>
      <c r="L108" s="100">
        <f>3*20*K108</f>
        <v>0</v>
      </c>
      <c r="M108" s="106" t="s">
        <v>113</v>
      </c>
      <c r="N108" s="107">
        <f>O107*0.5</f>
        <v>341712</v>
      </c>
      <c r="O108" s="105">
        <f>O107*0.75</f>
        <v>512568</v>
      </c>
      <c r="P108" s="105">
        <f>P107*0.75</f>
        <v>805068</v>
      </c>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row>
    <row r="109" spans="1:77" ht="15">
      <c r="A109" s="254"/>
      <c r="B109" s="4" t="s">
        <v>85</v>
      </c>
      <c r="C109" s="37" t="s">
        <v>95</v>
      </c>
      <c r="D109" s="10"/>
      <c r="E109" s="7">
        <f>P108</f>
        <v>805068</v>
      </c>
      <c r="F109" s="29">
        <f>20*E109</f>
        <v>16101360</v>
      </c>
      <c r="K109" s="99">
        <f>W108</f>
        <v>0</v>
      </c>
      <c r="L109" s="100">
        <f>20*K109</f>
        <v>0</v>
      </c>
      <c r="M109" s="104" t="s">
        <v>100</v>
      </c>
    </row>
    <row r="110" spans="1:77" ht="15">
      <c r="A110" s="254"/>
      <c r="B110" s="4" t="s">
        <v>88</v>
      </c>
      <c r="C110" s="37" t="s">
        <v>58</v>
      </c>
      <c r="D110" s="10"/>
      <c r="E110" s="7">
        <f>P107</f>
        <v>1073424</v>
      </c>
      <c r="F110" s="29">
        <f>5*20*E110</f>
        <v>107342400</v>
      </c>
      <c r="K110" s="99">
        <f>W107</f>
        <v>0</v>
      </c>
      <c r="L110" s="100">
        <f>5*20*K110</f>
        <v>0</v>
      </c>
    </row>
    <row r="111" spans="1:77" ht="15.75" thickBot="1">
      <c r="A111" s="255"/>
      <c r="B111" s="47" t="s">
        <v>87</v>
      </c>
      <c r="C111" s="65" t="s">
        <v>57</v>
      </c>
      <c r="D111" s="44"/>
      <c r="E111" s="30">
        <f>Q107</f>
        <v>1428241</v>
      </c>
      <c r="F111" s="31">
        <f>3*20*E111</f>
        <v>85694460</v>
      </c>
      <c r="K111" s="30">
        <f>X107</f>
        <v>0</v>
      </c>
      <c r="L111" s="31">
        <f>3*20*K111</f>
        <v>0</v>
      </c>
    </row>
    <row r="112" spans="1:77" ht="15" customHeight="1">
      <c r="A112" s="256" t="s">
        <v>79</v>
      </c>
      <c r="B112" s="116" t="s">
        <v>72</v>
      </c>
      <c r="C112" s="116"/>
      <c r="D112" s="116"/>
      <c r="E112" s="116"/>
      <c r="F112" s="64">
        <f>SUM(F113:F120)</f>
        <v>4885200</v>
      </c>
      <c r="K112" s="116"/>
      <c r="L112" s="64">
        <f>SUM(L113:L120)</f>
        <v>0</v>
      </c>
      <c r="N112" t="s">
        <v>108</v>
      </c>
      <c r="O112" t="s">
        <v>109</v>
      </c>
      <c r="P112" t="s">
        <v>110</v>
      </c>
      <c r="Q112" t="s">
        <v>111</v>
      </c>
    </row>
    <row r="113" spans="1:17" ht="28.5">
      <c r="A113" s="256"/>
      <c r="B113" s="4" t="s">
        <v>80</v>
      </c>
      <c r="C113" s="37" t="s">
        <v>98</v>
      </c>
      <c r="D113" s="10"/>
      <c r="E113" s="7">
        <f>N113*230</f>
        <v>4140</v>
      </c>
      <c r="F113" s="29">
        <f>+E113*40</f>
        <v>165600</v>
      </c>
      <c r="K113" s="99">
        <f>U113*230</f>
        <v>0</v>
      </c>
      <c r="L113" s="100">
        <f>+K113*40</f>
        <v>0</v>
      </c>
      <c r="M113" s="1" t="s">
        <v>103</v>
      </c>
      <c r="N113">
        <v>18</v>
      </c>
      <c r="O113">
        <v>18</v>
      </c>
      <c r="P113">
        <v>27</v>
      </c>
      <c r="Q113">
        <v>27</v>
      </c>
    </row>
    <row r="114" spans="1:17" ht="15">
      <c r="A114" s="256"/>
      <c r="B114" s="4" t="s">
        <v>83</v>
      </c>
      <c r="C114" s="37" t="s">
        <v>98</v>
      </c>
      <c r="D114" s="10"/>
      <c r="E114" s="7"/>
      <c r="F114" s="29">
        <f>+E114*40</f>
        <v>0</v>
      </c>
      <c r="K114" s="99"/>
      <c r="L114" s="100">
        <f>+K114*40</f>
        <v>0</v>
      </c>
    </row>
    <row r="115" spans="1:17" ht="15">
      <c r="A115" s="256"/>
      <c r="B115" s="4" t="s">
        <v>86</v>
      </c>
      <c r="C115" s="37" t="s">
        <v>96</v>
      </c>
      <c r="D115" s="10"/>
      <c r="E115" s="99">
        <f>N113*Q3</f>
        <v>4140</v>
      </c>
      <c r="F115" s="29">
        <f>3*40*E115</f>
        <v>496800</v>
      </c>
      <c r="K115" s="99">
        <f>U113*X3</f>
        <v>0</v>
      </c>
      <c r="L115" s="100">
        <f>3*40*K115</f>
        <v>0</v>
      </c>
    </row>
    <row r="116" spans="1:17" ht="15">
      <c r="A116" s="256"/>
      <c r="B116" s="4" t="s">
        <v>84</v>
      </c>
      <c r="C116" s="37" t="s">
        <v>97</v>
      </c>
      <c r="D116" s="10"/>
      <c r="E116" s="99">
        <f>O113*Q3</f>
        <v>4140</v>
      </c>
      <c r="F116" s="29">
        <f>9*40*E116</f>
        <v>1490400</v>
      </c>
      <c r="K116" s="99">
        <f>V113*X3</f>
        <v>0</v>
      </c>
      <c r="L116" s="100">
        <f>9*40*K116</f>
        <v>0</v>
      </c>
    </row>
    <row r="117" spans="1:17" ht="15">
      <c r="A117" s="256"/>
      <c r="B117" s="4" t="s">
        <v>89</v>
      </c>
      <c r="C117" s="37" t="s">
        <v>96</v>
      </c>
      <c r="D117" s="10"/>
      <c r="E117" s="99">
        <f>O113*Q3</f>
        <v>4140</v>
      </c>
      <c r="F117" s="29">
        <f>3*40*E117</f>
        <v>496800</v>
      </c>
      <c r="K117" s="99">
        <f>V113*X3</f>
        <v>0</v>
      </c>
      <c r="L117" s="100">
        <f>3*40*K117</f>
        <v>0</v>
      </c>
    </row>
    <row r="118" spans="1:17" ht="15">
      <c r="A118" s="256"/>
      <c r="B118" s="4" t="s">
        <v>85</v>
      </c>
      <c r="C118" s="37" t="s">
        <v>98</v>
      </c>
      <c r="D118" s="10"/>
      <c r="E118" s="99">
        <f>P113*Q3</f>
        <v>6210</v>
      </c>
      <c r="F118" s="29">
        <f>40*E118</f>
        <v>248400</v>
      </c>
      <c r="K118" s="99">
        <f>W113*X3</f>
        <v>0</v>
      </c>
      <c r="L118" s="100">
        <f>40*K118</f>
        <v>0</v>
      </c>
    </row>
    <row r="119" spans="1:17" ht="15">
      <c r="A119" s="256"/>
      <c r="B119" s="4" t="s">
        <v>88</v>
      </c>
      <c r="C119" s="37" t="s">
        <v>99</v>
      </c>
      <c r="D119" s="10"/>
      <c r="E119" s="99">
        <f>P113*Q3</f>
        <v>6210</v>
      </c>
      <c r="F119" s="29">
        <f>5*40*E119</f>
        <v>1242000</v>
      </c>
      <c r="K119" s="99">
        <f>W113*X3</f>
        <v>0</v>
      </c>
      <c r="L119" s="100">
        <f>5*40*K119</f>
        <v>0</v>
      </c>
    </row>
    <row r="120" spans="1:17" ht="15.75" thickBot="1">
      <c r="A120" s="257"/>
      <c r="B120" s="47" t="s">
        <v>87</v>
      </c>
      <c r="C120" s="65" t="s">
        <v>96</v>
      </c>
      <c r="D120" s="44"/>
      <c r="E120" s="99">
        <f>Q113*Q3</f>
        <v>6210</v>
      </c>
      <c r="F120" s="31">
        <f>3*40*E120</f>
        <v>745200</v>
      </c>
      <c r="K120" s="99">
        <f>X113*X3</f>
        <v>0</v>
      </c>
      <c r="L120" s="31">
        <f>3*40*K120</f>
        <v>0</v>
      </c>
    </row>
    <row r="121" spans="1:17" ht="15.75">
      <c r="A121" s="244" t="s">
        <v>27</v>
      </c>
      <c r="B121" s="242" t="s">
        <v>27</v>
      </c>
      <c r="C121" s="242"/>
      <c r="D121" s="242"/>
      <c r="E121" s="71" t="s">
        <v>59</v>
      </c>
      <c r="F121" s="48">
        <f>SUM(F122:F124)</f>
        <v>2443500</v>
      </c>
      <c r="K121" s="71" t="s">
        <v>59</v>
      </c>
      <c r="L121" s="102">
        <f>SUM(L122:L124)</f>
        <v>0</v>
      </c>
      <c r="N121" t="s">
        <v>122</v>
      </c>
      <c r="O121" t="s">
        <v>125</v>
      </c>
    </row>
    <row r="122" spans="1:17" ht="28.5">
      <c r="A122" s="240"/>
      <c r="B122" s="11" t="s">
        <v>47</v>
      </c>
      <c r="C122" s="13">
        <v>30</v>
      </c>
      <c r="D122" s="15"/>
      <c r="E122" s="97">
        <f>(N122*O3)+(O122*Q3)</f>
        <v>12950</v>
      </c>
      <c r="F122" s="23">
        <f>+C122*E122</f>
        <v>388500</v>
      </c>
      <c r="K122" s="97">
        <f>(U122*V3)+(V122*X3)</f>
        <v>0</v>
      </c>
      <c r="L122" s="98">
        <f>+I122*K122</f>
        <v>0</v>
      </c>
      <c r="M122" s="1" t="s">
        <v>104</v>
      </c>
      <c r="N122">
        <v>15</v>
      </c>
      <c r="O122">
        <v>40</v>
      </c>
    </row>
    <row r="123" spans="1:17" ht="28.5">
      <c r="A123" s="240"/>
      <c r="B123" s="11" t="s">
        <v>48</v>
      </c>
      <c r="C123" s="13">
        <v>30</v>
      </c>
      <c r="D123" s="15"/>
      <c r="E123" s="97">
        <f>(N123*O3)+(O123*Q3)</f>
        <v>25900</v>
      </c>
      <c r="F123" s="23">
        <f t="shared" ref="F123:F124" si="25">+C123*E123</f>
        <v>777000</v>
      </c>
      <c r="K123" s="97">
        <f>(U123*V3)+(V123*X3)</f>
        <v>0</v>
      </c>
      <c r="L123" s="98">
        <f t="shared" ref="L123:L124" si="26">+I123*K123</f>
        <v>0</v>
      </c>
      <c r="M123" s="1" t="s">
        <v>115</v>
      </c>
      <c r="N123">
        <v>30</v>
      </c>
      <c r="O123">
        <v>80</v>
      </c>
    </row>
    <row r="124" spans="1:17" ht="29.25" thickBot="1">
      <c r="A124" s="241"/>
      <c r="B124" s="24" t="s">
        <v>49</v>
      </c>
      <c r="C124" s="28">
        <v>30</v>
      </c>
      <c r="D124" s="26"/>
      <c r="E124" s="97">
        <f>(N124*O3)+(O124*Q3)</f>
        <v>42600</v>
      </c>
      <c r="F124" s="27">
        <f t="shared" si="25"/>
        <v>1278000</v>
      </c>
      <c r="K124" s="97">
        <f>(U124*V3)+(V124*X3)</f>
        <v>0</v>
      </c>
      <c r="L124" s="27">
        <f t="shared" si="26"/>
        <v>0</v>
      </c>
      <c r="M124" s="1" t="s">
        <v>114</v>
      </c>
      <c r="N124">
        <v>60</v>
      </c>
      <c r="O124">
        <v>120</v>
      </c>
    </row>
    <row r="125" spans="1:17" ht="19.5">
      <c r="A125" s="249" t="s">
        <v>78</v>
      </c>
      <c r="B125" s="243" t="s">
        <v>28</v>
      </c>
      <c r="C125" s="243"/>
      <c r="D125" s="243"/>
      <c r="E125" s="57" t="s">
        <v>59</v>
      </c>
      <c r="F125" s="9">
        <f>SUM(F126:F128)</f>
        <v>434000</v>
      </c>
      <c r="K125" s="57" t="s">
        <v>59</v>
      </c>
      <c r="L125" s="9">
        <f>SUM(L126:L128)</f>
        <v>0</v>
      </c>
    </row>
    <row r="126" spans="1:17" ht="28.5">
      <c r="A126" s="250"/>
      <c r="B126" s="4" t="s">
        <v>47</v>
      </c>
      <c r="C126" s="8">
        <v>10</v>
      </c>
      <c r="D126" s="10"/>
      <c r="E126" s="7">
        <f>(N126*O3)+(O126*Q3)</f>
        <v>6600</v>
      </c>
      <c r="F126" s="29">
        <f>+E126*C126</f>
        <v>66000</v>
      </c>
      <c r="K126" s="99">
        <f>(U126*V3)+(V126*X3)</f>
        <v>0</v>
      </c>
      <c r="L126" s="100">
        <f>+K126*I126</f>
        <v>0</v>
      </c>
      <c r="M126" s="1" t="s">
        <v>107</v>
      </c>
      <c r="N126">
        <v>8</v>
      </c>
      <c r="O126">
        <v>20</v>
      </c>
    </row>
    <row r="127" spans="1:17" ht="28.5">
      <c r="A127" s="250"/>
      <c r="B127" s="4" t="s">
        <v>48</v>
      </c>
      <c r="C127" s="8">
        <v>10</v>
      </c>
      <c r="D127" s="10"/>
      <c r="E127" s="99">
        <f>(N127*O3)+(O127*Q3)</f>
        <v>13200</v>
      </c>
      <c r="F127" s="29">
        <f t="shared" ref="F127:F128" si="27">+E127*C127</f>
        <v>132000</v>
      </c>
      <c r="K127" s="99">
        <f>(U127*V3)+(V127*X3)</f>
        <v>0</v>
      </c>
      <c r="L127" s="100">
        <f t="shared" ref="L127:L128" si="28">+K127*I127</f>
        <v>0</v>
      </c>
      <c r="M127" s="1" t="s">
        <v>116</v>
      </c>
      <c r="N127">
        <v>16</v>
      </c>
      <c r="O127">
        <v>40</v>
      </c>
    </row>
    <row r="128" spans="1:17" ht="29.25" thickBot="1">
      <c r="A128" s="251"/>
      <c r="B128" s="47" t="s">
        <v>49</v>
      </c>
      <c r="C128" s="66">
        <v>10</v>
      </c>
      <c r="D128" s="44"/>
      <c r="E128" s="99">
        <f>(N128*O3)+(O128*Q3)</f>
        <v>23600</v>
      </c>
      <c r="F128" s="31">
        <f t="shared" si="27"/>
        <v>236000</v>
      </c>
      <c r="K128" s="99">
        <f>(U128*V3)+(V128*X3)</f>
        <v>0</v>
      </c>
      <c r="L128" s="31">
        <f t="shared" si="28"/>
        <v>0</v>
      </c>
      <c r="M128" s="1" t="s">
        <v>105</v>
      </c>
      <c r="N128">
        <v>30</v>
      </c>
      <c r="O128">
        <v>70</v>
      </c>
    </row>
    <row r="129" spans="1:15" ht="15.75">
      <c r="A129" s="239" t="s">
        <v>29</v>
      </c>
      <c r="B129" s="252" t="s">
        <v>29</v>
      </c>
      <c r="C129" s="252"/>
      <c r="D129" s="252"/>
      <c r="E129" s="73" t="s">
        <v>59</v>
      </c>
      <c r="F129" s="39">
        <f>SUM(F130:F132)</f>
        <v>371000</v>
      </c>
      <c r="K129" s="73" t="s">
        <v>59</v>
      </c>
      <c r="L129" s="101">
        <f>SUM(L130:L132)</f>
        <v>0</v>
      </c>
    </row>
    <row r="130" spans="1:15" ht="28.5">
      <c r="A130" s="240"/>
      <c r="B130" s="32" t="s">
        <v>50</v>
      </c>
      <c r="C130" s="13">
        <v>10</v>
      </c>
      <c r="D130" s="15"/>
      <c r="E130" s="97">
        <f>(N130*O3)+(O130*Q3)</f>
        <v>6600</v>
      </c>
      <c r="F130" s="23">
        <f>+C130*E130</f>
        <v>66000</v>
      </c>
      <c r="K130" s="97">
        <f>(U130*V3)+(V130*X3)</f>
        <v>0</v>
      </c>
      <c r="L130" s="98">
        <f>+I130*K130</f>
        <v>0</v>
      </c>
      <c r="M130" s="1" t="s">
        <v>106</v>
      </c>
      <c r="N130">
        <v>8</v>
      </c>
      <c r="O130">
        <v>20</v>
      </c>
    </row>
    <row r="131" spans="1:15" ht="28.5">
      <c r="A131" s="240"/>
      <c r="B131" s="32" t="s">
        <v>51</v>
      </c>
      <c r="C131" s="13">
        <v>10</v>
      </c>
      <c r="D131" s="15"/>
      <c r="E131" s="97">
        <f>(N131*O3)+(O131*Q3)</f>
        <v>12200</v>
      </c>
      <c r="F131" s="23">
        <f t="shared" ref="F131:F132" si="29">+C131*E131</f>
        <v>122000</v>
      </c>
      <c r="K131" s="97">
        <f>(U131*V3)+(V131*X3)</f>
        <v>0</v>
      </c>
      <c r="L131" s="98">
        <f t="shared" ref="L131:L132" si="30">+I131*K131</f>
        <v>0</v>
      </c>
      <c r="M131" s="1" t="s">
        <v>117</v>
      </c>
      <c r="N131">
        <v>12</v>
      </c>
      <c r="O131">
        <v>40</v>
      </c>
    </row>
    <row r="132" spans="1:15" ht="29.25" thickBot="1">
      <c r="A132" s="241"/>
      <c r="B132" s="74" t="s">
        <v>52</v>
      </c>
      <c r="C132" s="28">
        <v>10</v>
      </c>
      <c r="D132" s="26"/>
      <c r="E132" s="97">
        <f>(N132*O3)+(O132*Q3)</f>
        <v>18300</v>
      </c>
      <c r="F132" s="27">
        <f t="shared" si="29"/>
        <v>183000</v>
      </c>
      <c r="K132" s="97">
        <f>(U132*V3)+(V132*X3)</f>
        <v>0</v>
      </c>
      <c r="L132" s="27">
        <f t="shared" si="30"/>
        <v>0</v>
      </c>
      <c r="M132" s="1" t="s">
        <v>118</v>
      </c>
      <c r="N132">
        <v>18</v>
      </c>
      <c r="O132">
        <v>60</v>
      </c>
    </row>
    <row r="133" spans="1:15" ht="15">
      <c r="A133" s="81"/>
      <c r="B133" s="82" t="s">
        <v>61</v>
      </c>
      <c r="C133" s="60">
        <v>1</v>
      </c>
      <c r="D133" s="45"/>
      <c r="E133" s="46">
        <v>60000</v>
      </c>
      <c r="F133" s="9">
        <f>+E133*C133</f>
        <v>60000</v>
      </c>
      <c r="K133" s="46">
        <v>60000</v>
      </c>
      <c r="L133" s="9">
        <f>+K133*I133</f>
        <v>0</v>
      </c>
    </row>
    <row r="134" spans="1:15" ht="15">
      <c r="A134" s="83"/>
      <c r="B134" s="32" t="s">
        <v>60</v>
      </c>
      <c r="C134" s="35">
        <v>1</v>
      </c>
      <c r="D134" s="15"/>
      <c r="E134" s="12">
        <v>60000</v>
      </c>
      <c r="F134" s="23">
        <f>+E134*C134</f>
        <v>60000</v>
      </c>
      <c r="K134" s="97">
        <v>60000</v>
      </c>
      <c r="L134" s="98">
        <f>+K134*I134</f>
        <v>0</v>
      </c>
    </row>
    <row r="135" spans="1:15">
      <c r="A135" s="83"/>
      <c r="B135" s="4" t="s">
        <v>30</v>
      </c>
      <c r="C135" s="38">
        <v>1</v>
      </c>
      <c r="D135" s="10"/>
      <c r="E135" s="7">
        <v>60000</v>
      </c>
      <c r="F135" s="29">
        <f>+E135*C135</f>
        <v>60000</v>
      </c>
      <c r="K135" s="99">
        <v>60000</v>
      </c>
      <c r="L135" s="100">
        <f>+K135*I135</f>
        <v>0</v>
      </c>
    </row>
    <row r="136" spans="1:15">
      <c r="A136" s="83"/>
      <c r="B136" s="11" t="s">
        <v>31</v>
      </c>
      <c r="C136" s="35">
        <v>1</v>
      </c>
      <c r="D136" s="15"/>
      <c r="E136" s="12">
        <v>60000</v>
      </c>
      <c r="F136" s="23">
        <f>+C136*E136</f>
        <v>60000</v>
      </c>
      <c r="K136" s="97">
        <v>60000</v>
      </c>
      <c r="L136" s="98">
        <f>+I136*K136</f>
        <v>0</v>
      </c>
    </row>
    <row r="137" spans="1:15" ht="15" thickBot="1">
      <c r="A137" s="84"/>
      <c r="B137" s="47" t="s">
        <v>32</v>
      </c>
      <c r="C137" s="61">
        <v>1</v>
      </c>
      <c r="D137" s="44"/>
      <c r="E137" s="30">
        <v>60000</v>
      </c>
      <c r="F137" s="31">
        <f>+E137*C137</f>
        <v>60000</v>
      </c>
      <c r="K137" s="30">
        <v>60000</v>
      </c>
      <c r="L137" s="31">
        <f>+K137*I137</f>
        <v>0</v>
      </c>
    </row>
    <row r="138" spans="1:15" ht="15">
      <c r="A138" s="239" t="s">
        <v>33</v>
      </c>
      <c r="B138" s="53" t="s">
        <v>33</v>
      </c>
      <c r="C138" s="79"/>
      <c r="D138" s="54" t="s">
        <v>34</v>
      </c>
      <c r="E138" s="55"/>
      <c r="F138" s="14"/>
      <c r="K138" s="55"/>
      <c r="L138" s="93"/>
    </row>
    <row r="139" spans="1:15">
      <c r="A139" s="240"/>
      <c r="B139" s="11" t="s">
        <v>35</v>
      </c>
      <c r="C139" s="35">
        <v>10000</v>
      </c>
      <c r="D139" s="33">
        <v>110</v>
      </c>
      <c r="E139" s="12">
        <f>+D139</f>
        <v>110</v>
      </c>
      <c r="F139" s="23">
        <f>+E139*C139</f>
        <v>1100000</v>
      </c>
      <c r="K139" s="97">
        <f>+J139</f>
        <v>0</v>
      </c>
      <c r="L139" s="98">
        <f>+K139*I139</f>
        <v>0</v>
      </c>
    </row>
    <row r="140" spans="1:15">
      <c r="A140" s="240"/>
      <c r="B140" s="11" t="s">
        <v>36</v>
      </c>
      <c r="C140" s="35">
        <v>10000</v>
      </c>
      <c r="D140" s="33">
        <v>250</v>
      </c>
      <c r="E140" s="97">
        <f t="shared" ref="E140:E149" si="31">+D140</f>
        <v>250</v>
      </c>
      <c r="F140" s="23">
        <f t="shared" ref="F140:F149" si="32">+E140*C140</f>
        <v>2500000</v>
      </c>
      <c r="K140" s="97">
        <f t="shared" ref="K140:K149" si="33">+J140</f>
        <v>0</v>
      </c>
      <c r="L140" s="98">
        <f t="shared" ref="L140:L149" si="34">+K140*I140</f>
        <v>0</v>
      </c>
    </row>
    <row r="141" spans="1:15">
      <c r="A141" s="240"/>
      <c r="B141" s="11" t="s">
        <v>37</v>
      </c>
      <c r="C141" s="35">
        <v>10000</v>
      </c>
      <c r="D141" s="33">
        <v>220</v>
      </c>
      <c r="E141" s="97">
        <f t="shared" si="31"/>
        <v>220</v>
      </c>
      <c r="F141" s="23">
        <f t="shared" si="32"/>
        <v>2200000</v>
      </c>
      <c r="K141" s="97">
        <f t="shared" si="33"/>
        <v>0</v>
      </c>
      <c r="L141" s="98">
        <f t="shared" si="34"/>
        <v>0</v>
      </c>
    </row>
    <row r="142" spans="1:15">
      <c r="A142" s="240"/>
      <c r="B142" s="11" t="s">
        <v>38</v>
      </c>
      <c r="C142" s="35">
        <v>10000</v>
      </c>
      <c r="D142" s="33">
        <v>175</v>
      </c>
      <c r="E142" s="97">
        <f t="shared" si="31"/>
        <v>175</v>
      </c>
      <c r="F142" s="23">
        <f t="shared" si="32"/>
        <v>1750000</v>
      </c>
      <c r="K142" s="97">
        <f t="shared" si="33"/>
        <v>0</v>
      </c>
      <c r="L142" s="98">
        <f t="shared" si="34"/>
        <v>0</v>
      </c>
    </row>
    <row r="143" spans="1:15">
      <c r="A143" s="240"/>
      <c r="B143" s="11" t="s">
        <v>39</v>
      </c>
      <c r="C143" s="35">
        <v>10000</v>
      </c>
      <c r="D143" s="33">
        <v>100</v>
      </c>
      <c r="E143" s="97">
        <f t="shared" si="31"/>
        <v>100</v>
      </c>
      <c r="F143" s="23">
        <f t="shared" si="32"/>
        <v>1000000</v>
      </c>
      <c r="K143" s="97">
        <f t="shared" si="33"/>
        <v>0</v>
      </c>
      <c r="L143" s="98">
        <f t="shared" si="34"/>
        <v>0</v>
      </c>
    </row>
    <row r="144" spans="1:15">
      <c r="A144" s="240"/>
      <c r="B144" s="11" t="s">
        <v>40</v>
      </c>
      <c r="C144" s="35">
        <v>10000</v>
      </c>
      <c r="D144" s="33">
        <v>250</v>
      </c>
      <c r="E144" s="97">
        <f t="shared" si="31"/>
        <v>250</v>
      </c>
      <c r="F144" s="23">
        <f t="shared" si="32"/>
        <v>2500000</v>
      </c>
      <c r="K144" s="97">
        <f t="shared" si="33"/>
        <v>0</v>
      </c>
      <c r="L144" s="98">
        <f t="shared" si="34"/>
        <v>0</v>
      </c>
    </row>
    <row r="145" spans="1:12">
      <c r="A145" s="240"/>
      <c r="B145" s="11" t="s">
        <v>41</v>
      </c>
      <c r="C145" s="35">
        <v>10000</v>
      </c>
      <c r="D145" s="33">
        <v>220</v>
      </c>
      <c r="E145" s="97">
        <f t="shared" si="31"/>
        <v>220</v>
      </c>
      <c r="F145" s="23">
        <f t="shared" si="32"/>
        <v>2200000</v>
      </c>
      <c r="K145" s="97">
        <f t="shared" si="33"/>
        <v>0</v>
      </c>
      <c r="L145" s="98">
        <f t="shared" si="34"/>
        <v>0</v>
      </c>
    </row>
    <row r="146" spans="1:12">
      <c r="A146" s="240"/>
      <c r="B146" s="11" t="s">
        <v>42</v>
      </c>
      <c r="C146" s="35">
        <v>10000</v>
      </c>
      <c r="D146" s="33">
        <v>120</v>
      </c>
      <c r="E146" s="97">
        <f t="shared" si="31"/>
        <v>120</v>
      </c>
      <c r="F146" s="23">
        <f t="shared" si="32"/>
        <v>1200000</v>
      </c>
      <c r="K146" s="97">
        <f t="shared" si="33"/>
        <v>0</v>
      </c>
      <c r="L146" s="98">
        <f t="shared" si="34"/>
        <v>0</v>
      </c>
    </row>
    <row r="147" spans="1:12">
      <c r="A147" s="240"/>
      <c r="B147" s="11" t="s">
        <v>43</v>
      </c>
      <c r="C147" s="35">
        <v>10000</v>
      </c>
      <c r="D147" s="33">
        <v>160</v>
      </c>
      <c r="E147" s="97">
        <f t="shared" si="31"/>
        <v>160</v>
      </c>
      <c r="F147" s="23">
        <f t="shared" si="32"/>
        <v>1600000</v>
      </c>
      <c r="K147" s="97">
        <f t="shared" si="33"/>
        <v>0</v>
      </c>
      <c r="L147" s="98">
        <f t="shared" si="34"/>
        <v>0</v>
      </c>
    </row>
    <row r="148" spans="1:12">
      <c r="A148" s="240"/>
      <c r="B148" s="11" t="s">
        <v>44</v>
      </c>
      <c r="C148" s="35">
        <v>10000</v>
      </c>
      <c r="D148" s="33">
        <v>160</v>
      </c>
      <c r="E148" s="97">
        <f t="shared" si="31"/>
        <v>160</v>
      </c>
      <c r="F148" s="23">
        <f t="shared" si="32"/>
        <v>1600000</v>
      </c>
      <c r="K148" s="97">
        <f t="shared" si="33"/>
        <v>0</v>
      </c>
      <c r="L148" s="98">
        <f t="shared" si="34"/>
        <v>0</v>
      </c>
    </row>
    <row r="149" spans="1:12" ht="15" thickBot="1">
      <c r="A149" s="241"/>
      <c r="B149" s="24" t="s">
        <v>45</v>
      </c>
      <c r="C149" s="36">
        <v>10000</v>
      </c>
      <c r="D149" s="56">
        <v>70</v>
      </c>
      <c r="E149" s="97">
        <f t="shared" si="31"/>
        <v>70</v>
      </c>
      <c r="F149" s="27">
        <f t="shared" si="32"/>
        <v>700000</v>
      </c>
      <c r="K149" s="97">
        <f t="shared" si="33"/>
        <v>0</v>
      </c>
      <c r="L149" s="27">
        <f t="shared" si="34"/>
        <v>0</v>
      </c>
    </row>
    <row r="150" spans="1:12" ht="20.25">
      <c r="A150" s="72"/>
      <c r="B150" s="75" t="s">
        <v>46</v>
      </c>
      <c r="C150" s="76"/>
      <c r="D150" s="77"/>
      <c r="E150" s="78"/>
      <c r="F150" s="78">
        <f>SUM(F139:F149,F133:F137,F129,F125,F121,F112,F103,F62,F53,F44,F38,F4)</f>
        <v>446808359</v>
      </c>
      <c r="K150" s="78"/>
      <c r="L150" s="78">
        <f>SUM(L139:L149,L133:L137,L129,L125,L121,L112,L103,L62,L53,L44,L38,L4)</f>
        <v>0</v>
      </c>
    </row>
  </sheetData>
  <mergeCells count="17">
    <mergeCell ref="A4:A37"/>
    <mergeCell ref="B1:F1"/>
    <mergeCell ref="E2:F2"/>
    <mergeCell ref="B27:D27"/>
    <mergeCell ref="A38:A43"/>
    <mergeCell ref="A138:A149"/>
    <mergeCell ref="B121:D121"/>
    <mergeCell ref="B125:D125"/>
    <mergeCell ref="A121:A124"/>
    <mergeCell ref="A44:A52"/>
    <mergeCell ref="A125:A128"/>
    <mergeCell ref="A129:A132"/>
    <mergeCell ref="B129:D129"/>
    <mergeCell ref="A103:A111"/>
    <mergeCell ref="A112:A120"/>
    <mergeCell ref="A53:A61"/>
    <mergeCell ref="A62:A102"/>
  </mergeCells>
  <pageMargins left="0.70866141732283472" right="0.70866141732283472" top="0.74803149606299213" bottom="0.74803149606299213" header="0.31496062992125984" footer="0.31496062992125984"/>
  <pageSetup paperSize="9" scale="77" orientation="portrait" horizontalDpi="4294967294" verticalDpi="4294967294" r:id="rId1"/>
  <rowBreaks count="1" manualBreakCount="1">
    <brk id="43" max="5"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76"/>
  <sheetViews>
    <sheetView rightToLeft="1" tabSelected="1" zoomScale="80" zoomScaleNormal="80" workbookViewId="0">
      <pane xSplit="1" ySplit="3" topLeftCell="B17" activePane="bottomRight" state="frozenSplit"/>
      <selection pane="topRight" activeCell="B1" sqref="B1"/>
      <selection pane="bottomLeft" activeCell="A4" sqref="A4"/>
      <selection pane="bottomRight" activeCell="G9" sqref="G9"/>
    </sheetView>
  </sheetViews>
  <sheetFormatPr defaultColWidth="8.875" defaultRowHeight="14.25"/>
  <cols>
    <col min="1" max="1" width="13.875" style="40" customWidth="1"/>
    <col min="2" max="2" width="45.375" style="5" customWidth="1"/>
    <col min="3" max="3" width="14.875" customWidth="1"/>
    <col min="4" max="4" width="13.625" style="118" customWidth="1"/>
    <col min="5" max="5" width="21.125" customWidth="1"/>
    <col min="6" max="6" width="20.125" style="158" customWidth="1"/>
    <col min="7" max="7" width="24.5" customWidth="1"/>
    <col min="8" max="8" width="65.125" style="124" customWidth="1"/>
    <col min="9" max="9" width="48.625" customWidth="1"/>
    <col min="10" max="10" width="15" bestFit="1" customWidth="1"/>
    <col min="12" max="12" width="12.875" bestFit="1" customWidth="1"/>
  </cols>
  <sheetData>
    <row r="1" spans="1:67" ht="51.75" customHeight="1" thickBot="1">
      <c r="B1" s="279" t="s">
        <v>172</v>
      </c>
      <c r="C1" s="279"/>
      <c r="D1" s="279"/>
      <c r="E1" s="279"/>
      <c r="F1" s="279"/>
      <c r="G1" s="128"/>
      <c r="H1" s="126"/>
    </row>
    <row r="2" spans="1:67" s="1" customFormat="1" ht="33.75" customHeight="1">
      <c r="A2" s="87"/>
      <c r="B2" s="88"/>
      <c r="C2" s="89"/>
      <c r="D2" s="117"/>
      <c r="E2" s="280"/>
      <c r="F2" s="281"/>
      <c r="G2" s="137"/>
      <c r="H2" s="145"/>
    </row>
    <row r="3" spans="1:67" s="1" customFormat="1" ht="54.75" thickBot="1">
      <c r="A3" s="90"/>
      <c r="B3" s="91"/>
      <c r="C3" s="170" t="s">
        <v>137</v>
      </c>
      <c r="D3" s="190" t="s">
        <v>149</v>
      </c>
      <c r="E3" s="171" t="s">
        <v>1</v>
      </c>
      <c r="F3" s="172" t="s">
        <v>59</v>
      </c>
      <c r="G3" s="293" t="s">
        <v>130</v>
      </c>
      <c r="H3" s="294"/>
    </row>
    <row r="4" spans="1:67" s="1" customFormat="1" ht="21" thickBot="1">
      <c r="A4" s="203"/>
      <c r="B4" s="282" t="s">
        <v>173</v>
      </c>
      <c r="C4" s="283"/>
      <c r="D4" s="283"/>
      <c r="E4" s="283"/>
      <c r="F4" s="204"/>
      <c r="G4" s="205"/>
      <c r="H4" s="205"/>
    </row>
    <row r="5" spans="1:67" s="94" customFormat="1" ht="54.95" customHeight="1" thickBot="1">
      <c r="A5" s="271" t="s">
        <v>173</v>
      </c>
      <c r="B5" s="196" t="s">
        <v>174</v>
      </c>
      <c r="C5" s="197">
        <v>1</v>
      </c>
      <c r="D5" s="198">
        <v>1</v>
      </c>
      <c r="E5" s="199"/>
      <c r="F5" s="162">
        <f>D5*E5</f>
        <v>0</v>
      </c>
      <c r="G5" s="133"/>
      <c r="H5" s="146" t="s">
        <v>177</v>
      </c>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row>
    <row r="6" spans="1:67" s="94" customFormat="1" ht="54.95" customHeight="1" thickBot="1">
      <c r="A6" s="271"/>
      <c r="B6" s="119" t="s">
        <v>175</v>
      </c>
      <c r="C6" s="197">
        <v>2</v>
      </c>
      <c r="D6" s="198">
        <v>1</v>
      </c>
      <c r="E6" s="199"/>
      <c r="F6" s="162">
        <f>D6*E6</f>
        <v>0</v>
      </c>
      <c r="G6" s="133"/>
      <c r="H6" s="127"/>
      <c r="I6" s="135"/>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row>
    <row r="7" spans="1:67" s="94" customFormat="1" ht="20.100000000000001" customHeight="1" thickBot="1">
      <c r="A7" s="272"/>
      <c r="B7" s="196"/>
      <c r="C7" s="200"/>
      <c r="D7" s="201"/>
      <c r="E7" s="200"/>
      <c r="F7" s="202"/>
      <c r="G7" s="133"/>
      <c r="H7" s="125"/>
      <c r="I7" s="136"/>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row>
    <row r="8" spans="1:67" s="94" customFormat="1" ht="30" customHeight="1">
      <c r="A8" s="268" t="s">
        <v>159</v>
      </c>
      <c r="B8" s="282" t="s">
        <v>141</v>
      </c>
      <c r="C8" s="283"/>
      <c r="D8" s="283"/>
      <c r="E8" s="283"/>
      <c r="F8" s="156"/>
      <c r="G8" s="138"/>
      <c r="H8" s="284" t="s">
        <v>178</v>
      </c>
      <c r="I8" s="134"/>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row>
    <row r="9" spans="1:67" s="94" customFormat="1" ht="30" customHeight="1">
      <c r="A9" s="269"/>
      <c r="B9" s="119" t="s">
        <v>148</v>
      </c>
      <c r="C9" s="120">
        <v>1</v>
      </c>
      <c r="D9" s="187">
        <v>1</v>
      </c>
      <c r="E9" s="175"/>
      <c r="F9" s="164">
        <f>D9*E9</f>
        <v>0</v>
      </c>
      <c r="G9" s="133"/>
      <c r="H9" s="285"/>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row>
    <row r="10" spans="1:67" s="94" customFormat="1" ht="30" customHeight="1">
      <c r="A10" s="269"/>
      <c r="B10" s="119" t="s">
        <v>132</v>
      </c>
      <c r="C10" s="120">
        <v>3</v>
      </c>
      <c r="D10" s="188">
        <v>2</v>
      </c>
      <c r="E10" s="175"/>
      <c r="F10" s="164">
        <f t="shared" ref="F10:F15" si="0">D10*E10</f>
        <v>0</v>
      </c>
      <c r="G10" s="133"/>
      <c r="H10" s="285"/>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row>
    <row r="11" spans="1:67" s="94" customFormat="1" ht="30" customHeight="1">
      <c r="A11" s="269"/>
      <c r="B11" s="119" t="s">
        <v>176</v>
      </c>
      <c r="C11" s="120">
        <v>9</v>
      </c>
      <c r="D11" s="188">
        <v>7</v>
      </c>
      <c r="E11" s="175"/>
      <c r="F11" s="164">
        <f t="shared" si="0"/>
        <v>0</v>
      </c>
      <c r="G11" s="133"/>
      <c r="H11" s="286" t="s">
        <v>179</v>
      </c>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row>
    <row r="12" spans="1:67" s="94" customFormat="1" ht="30" customHeight="1">
      <c r="A12" s="269"/>
      <c r="B12" s="119" t="s">
        <v>135</v>
      </c>
      <c r="C12" s="120">
        <v>4</v>
      </c>
      <c r="D12" s="188">
        <v>4</v>
      </c>
      <c r="E12" s="176"/>
      <c r="F12" s="164">
        <f t="shared" si="0"/>
        <v>0</v>
      </c>
      <c r="G12" s="133"/>
      <c r="H12" s="286"/>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row>
    <row r="13" spans="1:67" s="94" customFormat="1" ht="30" customHeight="1">
      <c r="A13" s="269"/>
      <c r="B13" s="119"/>
      <c r="C13" s="120"/>
      <c r="D13" s="189"/>
      <c r="E13" s="176"/>
      <c r="F13" s="164">
        <f t="shared" si="0"/>
        <v>0</v>
      </c>
      <c r="G13" s="133"/>
      <c r="H13" s="286"/>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row>
    <row r="14" spans="1:67" s="94" customFormat="1" ht="30" customHeight="1">
      <c r="A14" s="269"/>
      <c r="B14" s="119" t="s">
        <v>134</v>
      </c>
      <c r="C14" s="120">
        <v>5</v>
      </c>
      <c r="D14" s="188">
        <v>5</v>
      </c>
      <c r="E14" s="176"/>
      <c r="F14" s="164">
        <f t="shared" si="0"/>
        <v>0</v>
      </c>
      <c r="G14" s="133"/>
      <c r="H14" s="286"/>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row>
    <row r="15" spans="1:67" s="94" customFormat="1" ht="51.95" customHeight="1" thickBot="1">
      <c r="A15" s="270"/>
      <c r="B15" s="121" t="s">
        <v>136</v>
      </c>
      <c r="C15" s="122">
        <v>4</v>
      </c>
      <c r="D15" s="188">
        <v>2</v>
      </c>
      <c r="E15" s="177"/>
      <c r="F15" s="164">
        <f t="shared" si="0"/>
        <v>0</v>
      </c>
      <c r="G15" s="133"/>
      <c r="H15" s="286"/>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row>
    <row r="16" spans="1:67" s="94" customFormat="1" ht="15" hidden="1">
      <c r="A16" s="129"/>
      <c r="B16" s="130"/>
      <c r="C16" s="131"/>
      <c r="D16" s="149"/>
      <c r="E16" s="132"/>
      <c r="F16" s="157"/>
      <c r="G16" s="133"/>
      <c r="H16" s="286"/>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row>
    <row r="17" spans="1:67" s="94" customFormat="1" ht="33" customHeight="1" thickBot="1">
      <c r="A17" s="129"/>
      <c r="B17" s="133"/>
      <c r="C17" s="133"/>
      <c r="D17" s="133"/>
      <c r="E17" s="173" t="s">
        <v>139</v>
      </c>
      <c r="F17" s="174">
        <f>SUM(F9:F16)</f>
        <v>0</v>
      </c>
      <c r="G17" s="133"/>
      <c r="H17" s="286"/>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row>
    <row r="18" spans="1:67" s="94" customFormat="1" ht="15">
      <c r="A18" s="133"/>
      <c r="B18" s="133"/>
      <c r="C18" s="133"/>
      <c r="D18" s="133"/>
      <c r="E18" s="133"/>
      <c r="F18" s="157"/>
      <c r="G18" s="133"/>
      <c r="H18" s="286"/>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row>
    <row r="19" spans="1:67" s="94" customFormat="1" ht="15.75" thickBot="1">
      <c r="A19" s="133"/>
      <c r="B19" s="133"/>
      <c r="C19" s="133"/>
      <c r="D19" s="133"/>
      <c r="E19" s="133"/>
      <c r="F19" s="157"/>
      <c r="G19" s="133"/>
      <c r="H19" s="148"/>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row>
    <row r="20" spans="1:67" s="94" customFormat="1" ht="43.5" customHeight="1">
      <c r="A20" s="268" t="s">
        <v>180</v>
      </c>
      <c r="B20" s="282" t="s">
        <v>191</v>
      </c>
      <c r="C20" s="283"/>
      <c r="D20" s="283"/>
      <c r="E20" s="283"/>
      <c r="F20" s="297"/>
      <c r="G20" s="216"/>
      <c r="H20" s="186" t="s">
        <v>181</v>
      </c>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row>
    <row r="21" spans="1:67" s="94" customFormat="1" ht="51.95" customHeight="1">
      <c r="A21" s="269"/>
      <c r="B21" s="206" t="s">
        <v>165</v>
      </c>
      <c r="C21" s="206"/>
      <c r="D21" s="206" t="s">
        <v>166</v>
      </c>
      <c r="E21" s="207" t="s">
        <v>193</v>
      </c>
      <c r="F21" s="208" t="s">
        <v>139</v>
      </c>
      <c r="G21" s="133"/>
      <c r="H21" s="235" t="s">
        <v>192</v>
      </c>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row>
    <row r="22" spans="1:67" s="94" customFormat="1" ht="15" customHeight="1">
      <c r="A22" s="269"/>
      <c r="B22" s="119"/>
      <c r="C22" s="209"/>
      <c r="D22" s="210"/>
      <c r="E22" s="175"/>
      <c r="F22" s="164">
        <f>E22*D22</f>
        <v>0</v>
      </c>
      <c r="G22" s="133"/>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row>
    <row r="23" spans="1:67" s="94" customFormat="1" ht="15" customHeight="1">
      <c r="A23" s="269"/>
      <c r="B23" s="119"/>
      <c r="C23" s="209"/>
      <c r="D23" s="210"/>
      <c r="E23" s="175"/>
      <c r="F23" s="164">
        <f t="shared" ref="F23:F29" si="1">E23*D23</f>
        <v>0</v>
      </c>
      <c r="G23" s="133"/>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row>
    <row r="24" spans="1:67" s="94" customFormat="1" ht="15" customHeight="1">
      <c r="A24" s="269"/>
      <c r="B24" s="119"/>
      <c r="C24" s="209"/>
      <c r="D24" s="210"/>
      <c r="E24" s="175"/>
      <c r="F24" s="164">
        <f t="shared" si="1"/>
        <v>0</v>
      </c>
      <c r="G24" s="133"/>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row>
    <row r="25" spans="1:67" s="94" customFormat="1" ht="15" customHeight="1">
      <c r="A25" s="269"/>
      <c r="B25" s="119"/>
      <c r="C25" s="209"/>
      <c r="D25" s="210"/>
      <c r="E25" s="175"/>
      <c r="F25" s="164">
        <f t="shared" si="1"/>
        <v>0</v>
      </c>
      <c r="G25" s="133"/>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row>
    <row r="26" spans="1:67" s="94" customFormat="1" ht="15" customHeight="1">
      <c r="A26" s="269"/>
      <c r="B26" s="119"/>
      <c r="C26" s="209"/>
      <c r="D26" s="210"/>
      <c r="E26" s="175"/>
      <c r="F26" s="164">
        <f t="shared" si="1"/>
        <v>0</v>
      </c>
      <c r="G26" s="133"/>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row>
    <row r="27" spans="1:67" s="94" customFormat="1" ht="15.75" customHeight="1">
      <c r="A27" s="269"/>
      <c r="B27" s="119"/>
      <c r="C27" s="209"/>
      <c r="D27" s="210"/>
      <c r="E27" s="175"/>
      <c r="F27" s="164">
        <f t="shared" si="1"/>
        <v>0</v>
      </c>
      <c r="G27" s="133"/>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row>
    <row r="28" spans="1:67" s="94" customFormat="1" ht="15" customHeight="1">
      <c r="A28" s="269"/>
      <c r="B28" s="119"/>
      <c r="C28" s="209"/>
      <c r="D28" s="210"/>
      <c r="E28" s="175"/>
      <c r="F28" s="211">
        <f t="shared" si="1"/>
        <v>0</v>
      </c>
      <c r="G28" s="216"/>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row>
    <row r="29" spans="1:67" s="94" customFormat="1" ht="15" customHeight="1">
      <c r="A29" s="269"/>
      <c r="B29" s="119"/>
      <c r="C29" s="212"/>
      <c r="D29" s="210"/>
      <c r="E29" s="175"/>
      <c r="F29" s="211">
        <f t="shared" si="1"/>
        <v>0</v>
      </c>
      <c r="G29" s="216"/>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row>
    <row r="30" spans="1:67" s="94" customFormat="1" ht="15.75" customHeight="1" thickBot="1">
      <c r="A30" s="269"/>
      <c r="B30" s="119"/>
      <c r="C30" s="213"/>
      <c r="D30" s="214"/>
      <c r="E30" s="184"/>
      <c r="F30" s="215"/>
      <c r="G30" s="216"/>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row>
    <row r="31" spans="1:67" s="94" customFormat="1" ht="30.95" customHeight="1" thickBot="1">
      <c r="A31" s="155"/>
      <c r="B31" s="133"/>
      <c r="C31" s="178" t="s">
        <v>139</v>
      </c>
      <c r="D31" s="179"/>
      <c r="E31" s="180"/>
      <c r="F31" s="174">
        <f>SUM(F22:F30)</f>
        <v>0</v>
      </c>
      <c r="G31" s="133"/>
      <c r="H31" s="125"/>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row>
    <row r="32" spans="1:67" s="94" customFormat="1" ht="15">
      <c r="A32" s="133"/>
      <c r="B32" s="133"/>
      <c r="C32" s="133"/>
      <c r="D32" s="133"/>
      <c r="E32" s="133"/>
      <c r="F32" s="133"/>
      <c r="G32" s="133"/>
      <c r="H32" s="125"/>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row>
    <row r="33" spans="1:67" s="94" customFormat="1" ht="15.75" thickBot="1">
      <c r="A33" s="133"/>
      <c r="B33" s="133"/>
      <c r="C33" s="133"/>
      <c r="D33" s="133"/>
      <c r="E33" s="133"/>
      <c r="F33" s="133"/>
      <c r="G33" s="133"/>
      <c r="H33" s="125"/>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row>
    <row r="34" spans="1:67" s="94" customFormat="1" ht="28.5" customHeight="1">
      <c r="A34" s="268" t="s">
        <v>182</v>
      </c>
      <c r="B34" s="291" t="s">
        <v>184</v>
      </c>
      <c r="C34" s="292"/>
      <c r="D34" s="292"/>
      <c r="E34" s="292"/>
      <c r="F34" s="298"/>
      <c r="G34" s="133"/>
      <c r="H34" s="284" t="s">
        <v>185</v>
      </c>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row>
    <row r="35" spans="1:67" s="94" customFormat="1" ht="15">
      <c r="A35" s="269"/>
      <c r="B35" s="119" t="s">
        <v>131</v>
      </c>
      <c r="C35" s="120">
        <v>1</v>
      </c>
      <c r="D35" s="123">
        <v>1</v>
      </c>
      <c r="E35" s="181"/>
      <c r="F35" s="182">
        <f t="shared" ref="F35:F41" si="2">D35*E35</f>
        <v>0</v>
      </c>
      <c r="G35" s="133"/>
      <c r="H35" s="285"/>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row>
    <row r="36" spans="1:67" s="94" customFormat="1" ht="15">
      <c r="A36" s="269"/>
      <c r="B36" s="119" t="s">
        <v>132</v>
      </c>
      <c r="C36" s="120">
        <v>3</v>
      </c>
      <c r="D36" s="123">
        <v>3</v>
      </c>
      <c r="E36" s="176"/>
      <c r="F36" s="182">
        <f t="shared" si="2"/>
        <v>0</v>
      </c>
      <c r="G36" s="133"/>
      <c r="H36" s="285"/>
      <c r="I36" s="51"/>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row>
    <row r="37" spans="1:67" s="94" customFormat="1" ht="20.25" customHeight="1">
      <c r="A37" s="269"/>
      <c r="B37" s="119" t="s">
        <v>133</v>
      </c>
      <c r="C37" s="120">
        <v>9</v>
      </c>
      <c r="D37" s="123">
        <v>9</v>
      </c>
      <c r="E37" s="176"/>
      <c r="F37" s="182">
        <f t="shared" si="2"/>
        <v>0</v>
      </c>
      <c r="G37" s="133"/>
      <c r="H37" s="285"/>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row>
    <row r="38" spans="1:67" s="94" customFormat="1" ht="15">
      <c r="A38" s="269"/>
      <c r="B38" s="119" t="s">
        <v>135</v>
      </c>
      <c r="C38" s="120">
        <v>4</v>
      </c>
      <c r="D38" s="123">
        <v>4</v>
      </c>
      <c r="E38" s="176"/>
      <c r="F38" s="182">
        <f t="shared" si="2"/>
        <v>0</v>
      </c>
      <c r="G38" s="133"/>
      <c r="H38" s="148"/>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row>
    <row r="39" spans="1:67" s="94" customFormat="1" ht="15">
      <c r="A39" s="269"/>
      <c r="B39" s="119"/>
      <c r="C39" s="120"/>
      <c r="D39" s="123"/>
      <c r="E39" s="176"/>
      <c r="F39" s="182">
        <f t="shared" si="2"/>
        <v>0</v>
      </c>
      <c r="G39" s="133"/>
      <c r="H39" s="148"/>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row>
    <row r="40" spans="1:67" s="94" customFormat="1" ht="15" customHeight="1">
      <c r="A40" s="269"/>
      <c r="B40" s="119" t="s">
        <v>134</v>
      </c>
      <c r="C40" s="120">
        <v>5</v>
      </c>
      <c r="D40" s="123">
        <v>5</v>
      </c>
      <c r="E40" s="176"/>
      <c r="F40" s="182">
        <f t="shared" si="2"/>
        <v>0</v>
      </c>
      <c r="G40" s="133"/>
      <c r="H40" s="148"/>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row>
    <row r="41" spans="1:67" s="94" customFormat="1" ht="15.75" thickBot="1">
      <c r="A41" s="270"/>
      <c r="B41" s="121" t="s">
        <v>136</v>
      </c>
      <c r="C41" s="122">
        <v>3</v>
      </c>
      <c r="D41" s="183">
        <v>2</v>
      </c>
      <c r="E41" s="184"/>
      <c r="F41" s="185">
        <f t="shared" si="2"/>
        <v>0</v>
      </c>
      <c r="G41" s="133"/>
      <c r="H41" s="148"/>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row>
    <row r="42" spans="1:67" s="2" customFormat="1" ht="32.25" customHeight="1" thickBot="1">
      <c r="A42" s="150"/>
      <c r="B42" s="151"/>
      <c r="C42" s="152"/>
      <c r="D42" s="295" t="s">
        <v>183</v>
      </c>
      <c r="E42" s="296"/>
      <c r="F42" s="174">
        <f>SUM(F35:F41)</f>
        <v>0</v>
      </c>
      <c r="G42" s="133"/>
      <c r="H42" s="148"/>
    </row>
    <row r="43" spans="1:67" s="2" customFormat="1" ht="158.25" thickBot="1">
      <c r="A43" s="150" t="s">
        <v>194</v>
      </c>
      <c r="B43" s="236"/>
      <c r="C43" s="237">
        <v>1</v>
      </c>
      <c r="D43" s="238">
        <v>0.25</v>
      </c>
      <c r="E43" s="237"/>
      <c r="F43" s="174">
        <f>E43*D43</f>
        <v>0</v>
      </c>
      <c r="G43" s="133"/>
      <c r="H43" s="234" t="s">
        <v>195</v>
      </c>
    </row>
    <row r="44" spans="1:67" s="2" customFormat="1" ht="15.75">
      <c r="A44" s="150"/>
      <c r="B44" s="133"/>
      <c r="C44" s="133"/>
      <c r="D44" s="133"/>
      <c r="E44" s="133"/>
      <c r="F44" s="133"/>
      <c r="G44" s="133"/>
      <c r="H44" s="148"/>
    </row>
    <row r="45" spans="1:67">
      <c r="A45"/>
      <c r="B45" s="133"/>
      <c r="C45" s="133"/>
      <c r="D45" s="133"/>
      <c r="E45" s="133"/>
      <c r="F45" s="133"/>
      <c r="G45" s="133"/>
    </row>
    <row r="46" spans="1:67" s="94" customFormat="1" ht="21" thickBot="1">
      <c r="A46" s="147"/>
      <c r="B46" s="291" t="s">
        <v>190</v>
      </c>
      <c r="C46" s="292"/>
      <c r="D46" s="292"/>
      <c r="E46" s="292"/>
      <c r="F46" s="292"/>
      <c r="G46" s="292"/>
      <c r="H46" s="148"/>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row>
    <row r="47" spans="1:67" s="94" customFormat="1" ht="99.95" customHeight="1">
      <c r="A47" s="268" t="s">
        <v>140</v>
      </c>
      <c r="B47" s="289" t="s">
        <v>187</v>
      </c>
      <c r="C47" s="290"/>
      <c r="D47" s="165" t="s">
        <v>138</v>
      </c>
      <c r="E47" s="165" t="s">
        <v>170</v>
      </c>
      <c r="F47" s="165" t="s">
        <v>168</v>
      </c>
      <c r="G47" s="165" t="s">
        <v>186</v>
      </c>
      <c r="H47" s="233" t="s">
        <v>169</v>
      </c>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row>
    <row r="48" spans="1:67" s="94" customFormat="1" ht="30">
      <c r="A48" s="269"/>
      <c r="B48" s="277" t="s">
        <v>167</v>
      </c>
      <c r="C48" s="277"/>
      <c r="D48" s="153">
        <v>2000</v>
      </c>
      <c r="E48" s="123">
        <f>D48*F48*(1-G48)</f>
        <v>570000</v>
      </c>
      <c r="F48" s="164">
        <v>285</v>
      </c>
      <c r="G48" s="168"/>
      <c r="H48" s="166" t="s">
        <v>160</v>
      </c>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row>
    <row r="49" spans="1:67" s="94" customFormat="1" ht="15" customHeight="1">
      <c r="A49" s="269"/>
      <c r="B49" s="277" t="s">
        <v>153</v>
      </c>
      <c r="C49" s="277"/>
      <c r="D49" s="153">
        <v>1000</v>
      </c>
      <c r="E49" s="123">
        <f t="shared" ref="E49:E50" si="3">D49*F49*(1-G49)</f>
        <v>244000</v>
      </c>
      <c r="F49" s="164">
        <v>244</v>
      </c>
      <c r="G49" s="168"/>
      <c r="H49" s="167"/>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row>
    <row r="50" spans="1:67" s="94" customFormat="1" ht="15" customHeight="1">
      <c r="A50" s="269"/>
      <c r="B50" s="277" t="s">
        <v>150</v>
      </c>
      <c r="C50" s="277"/>
      <c r="D50" s="153">
        <v>500</v>
      </c>
      <c r="E50" s="123">
        <f t="shared" si="3"/>
        <v>160500</v>
      </c>
      <c r="F50" s="164">
        <v>321</v>
      </c>
      <c r="G50" s="168"/>
      <c r="H50" s="287" t="s">
        <v>171</v>
      </c>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row>
    <row r="51" spans="1:67" s="94" customFormat="1" ht="15" customHeight="1">
      <c r="A51" s="269"/>
      <c r="B51" s="277" t="s">
        <v>151</v>
      </c>
      <c r="C51" s="277"/>
      <c r="D51" s="153">
        <v>1000</v>
      </c>
      <c r="E51" s="123">
        <f>D51*F51</f>
        <v>95000</v>
      </c>
      <c r="F51" s="164">
        <v>95</v>
      </c>
      <c r="G51" s="168">
        <v>0</v>
      </c>
      <c r="H51" s="288"/>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7" s="94" customFormat="1" ht="15" customHeight="1">
      <c r="A52" s="269"/>
      <c r="B52" s="277" t="s">
        <v>152</v>
      </c>
      <c r="C52" s="277"/>
      <c r="D52" s="153">
        <v>1500</v>
      </c>
      <c r="E52" s="123">
        <f>D52*F52</f>
        <v>121500</v>
      </c>
      <c r="F52" s="164">
        <v>81</v>
      </c>
      <c r="G52" s="168">
        <v>0</v>
      </c>
      <c r="H52" s="288"/>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row>
    <row r="53" spans="1:67" s="94" customFormat="1" ht="15" customHeight="1">
      <c r="A53" s="269"/>
      <c r="B53" s="277" t="s">
        <v>154</v>
      </c>
      <c r="C53" s="277"/>
      <c r="D53" s="153">
        <v>500</v>
      </c>
      <c r="E53" s="123">
        <f t="shared" ref="E53:E57" si="4">D53*F53*(1-G53)</f>
        <v>160000</v>
      </c>
      <c r="F53" s="164">
        <v>320</v>
      </c>
      <c r="G53" s="168"/>
      <c r="H53" s="288"/>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row>
    <row r="54" spans="1:67" s="94" customFormat="1" ht="15" customHeight="1" thickBot="1">
      <c r="A54" s="270"/>
      <c r="B54" s="277" t="s">
        <v>155</v>
      </c>
      <c r="C54" s="277"/>
      <c r="D54" s="153">
        <v>500</v>
      </c>
      <c r="E54" s="123">
        <f t="shared" si="4"/>
        <v>164000</v>
      </c>
      <c r="F54" s="164">
        <v>328</v>
      </c>
      <c r="G54" s="168"/>
      <c r="H54" s="288"/>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row>
    <row r="55" spans="1:67" s="94" customFormat="1" ht="15" customHeight="1">
      <c r="A55" s="133"/>
      <c r="B55" s="277" t="s">
        <v>156</v>
      </c>
      <c r="C55" s="277"/>
      <c r="D55" s="153">
        <v>4000</v>
      </c>
      <c r="E55" s="123">
        <f t="shared" si="4"/>
        <v>1148000</v>
      </c>
      <c r="F55" s="164">
        <v>287</v>
      </c>
      <c r="G55" s="168"/>
      <c r="H55" s="288"/>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row>
    <row r="56" spans="1:67" s="94" customFormat="1" ht="15" customHeight="1">
      <c r="A56" s="133"/>
      <c r="B56" s="277" t="s">
        <v>157</v>
      </c>
      <c r="C56" s="277"/>
      <c r="D56" s="153">
        <v>3000</v>
      </c>
      <c r="E56" s="123">
        <f t="shared" si="4"/>
        <v>759000</v>
      </c>
      <c r="F56" s="164">
        <v>253</v>
      </c>
      <c r="G56" s="168"/>
      <c r="H56" s="288"/>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row>
    <row r="57" spans="1:67" s="94" customFormat="1" ht="15.75" customHeight="1" thickBot="1">
      <c r="A57" s="133"/>
      <c r="B57" s="278" t="s">
        <v>158</v>
      </c>
      <c r="C57" s="278"/>
      <c r="D57" s="191">
        <v>4000</v>
      </c>
      <c r="E57" s="183">
        <f t="shared" si="4"/>
        <v>608000</v>
      </c>
      <c r="F57" s="164">
        <v>152</v>
      </c>
      <c r="G57" s="168"/>
      <c r="H57" s="288"/>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row>
    <row r="58" spans="1:67" s="94" customFormat="1" ht="28.5" thickBot="1">
      <c r="A58" s="133"/>
      <c r="B58" s="194" t="s">
        <v>142</v>
      </c>
      <c r="C58" s="192"/>
      <c r="D58" s="192"/>
      <c r="E58" s="193">
        <f>SUM(E48:E57)</f>
        <v>4030000</v>
      </c>
      <c r="F58" s="133"/>
      <c r="G58" s="133"/>
      <c r="H58" s="288"/>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row>
    <row r="59" spans="1:67" s="2" customFormat="1" ht="15">
      <c r="A59" s="133"/>
      <c r="B59" s="133"/>
      <c r="C59" s="133"/>
      <c r="D59" s="133"/>
      <c r="E59" s="133"/>
      <c r="F59" s="133"/>
      <c r="G59" s="133"/>
      <c r="H59" s="169"/>
    </row>
    <row r="60" spans="1:67" s="2" customFormat="1" ht="15">
      <c r="A60" s="133"/>
      <c r="B60" s="133"/>
      <c r="C60" s="133"/>
      <c r="D60" s="133"/>
      <c r="E60" s="133"/>
      <c r="F60" s="133"/>
      <c r="G60" s="133"/>
      <c r="H60" s="169"/>
    </row>
    <row r="61" spans="1:67" s="2" customFormat="1" ht="42">
      <c r="A61" s="133"/>
      <c r="B61" s="154" t="s">
        <v>164</v>
      </c>
      <c r="C61" s="139"/>
      <c r="D61" s="140"/>
      <c r="E61" s="141"/>
      <c r="F61" s="159">
        <f>E58+F42+F43+F17+F6+F5+F42</f>
        <v>4030000</v>
      </c>
      <c r="G61" s="133"/>
      <c r="H61" s="169"/>
    </row>
    <row r="62" spans="1:67" s="2" customFormat="1" ht="15">
      <c r="A62" s="133"/>
      <c r="B62" s="133"/>
      <c r="C62" s="133"/>
      <c r="D62" s="133"/>
      <c r="E62" s="133"/>
      <c r="F62" s="133"/>
      <c r="G62" s="133"/>
      <c r="H62" s="169"/>
    </row>
    <row r="63" spans="1:67" s="2" customFormat="1" ht="20.25">
      <c r="G63" s="141"/>
      <c r="H63" s="125"/>
    </row>
    <row r="64" spans="1:67" s="2" customFormat="1" ht="45.75" thickBot="1">
      <c r="B64" s="273" t="s">
        <v>146</v>
      </c>
      <c r="C64" s="274"/>
      <c r="D64" s="274"/>
      <c r="E64" s="274"/>
      <c r="F64" s="274"/>
      <c r="G64" s="274"/>
      <c r="H64" s="163" t="s">
        <v>163</v>
      </c>
    </row>
    <row r="65" spans="1:8" s="2" customFormat="1" ht="31.5" customHeight="1">
      <c r="A65" s="275" t="s">
        <v>146</v>
      </c>
      <c r="B65" s="217" t="s">
        <v>161</v>
      </c>
      <c r="C65" s="218" t="s">
        <v>188</v>
      </c>
      <c r="D65" s="219"/>
      <c r="E65" s="220" t="s">
        <v>143</v>
      </c>
      <c r="F65" s="221" t="s">
        <v>144</v>
      </c>
      <c r="G65" s="222" t="s">
        <v>145</v>
      </c>
      <c r="H65" s="125"/>
    </row>
    <row r="66" spans="1:8" s="2" customFormat="1" ht="20.25">
      <c r="A66" s="276"/>
      <c r="B66" s="223"/>
      <c r="C66" s="139"/>
      <c r="D66" s="140"/>
      <c r="E66" s="141"/>
      <c r="F66" s="160"/>
      <c r="G66" s="224"/>
      <c r="H66" s="125"/>
    </row>
    <row r="67" spans="1:8" s="2" customFormat="1" ht="20.25">
      <c r="A67" s="276"/>
      <c r="B67" s="223"/>
      <c r="C67" s="139"/>
      <c r="D67" s="140"/>
      <c r="E67" s="141"/>
      <c r="F67" s="160"/>
      <c r="G67" s="224"/>
      <c r="H67" s="125"/>
    </row>
    <row r="68" spans="1:8" s="2" customFormat="1" ht="18">
      <c r="A68" s="276"/>
      <c r="B68" s="225" t="s">
        <v>162</v>
      </c>
      <c r="C68" s="142" t="s">
        <v>188</v>
      </c>
      <c r="D68" s="143"/>
      <c r="E68" s="144" t="s">
        <v>143</v>
      </c>
      <c r="F68" s="161" t="s">
        <v>144</v>
      </c>
      <c r="G68" s="226" t="s">
        <v>145</v>
      </c>
    </row>
    <row r="69" spans="1:8" s="2" customFormat="1" ht="21" thickBot="1">
      <c r="A69" s="195"/>
      <c r="B69" s="227"/>
      <c r="C69" s="228"/>
      <c r="D69" s="229"/>
      <c r="E69" s="230"/>
      <c r="F69" s="231"/>
      <c r="G69" s="232"/>
      <c r="H69" s="125"/>
    </row>
    <row r="72" spans="1:8">
      <c r="B72" t="s">
        <v>129</v>
      </c>
      <c r="D72"/>
    </row>
    <row r="73" spans="1:8">
      <c r="B73"/>
      <c r="D73"/>
    </row>
    <row r="74" spans="1:8">
      <c r="B74" t="s">
        <v>189</v>
      </c>
      <c r="D74"/>
    </row>
    <row r="76" spans="1:8">
      <c r="B76" s="5" t="s">
        <v>147</v>
      </c>
    </row>
  </sheetData>
  <mergeCells count="31">
    <mergeCell ref="H50:H58"/>
    <mergeCell ref="B47:C47"/>
    <mergeCell ref="B48:C48"/>
    <mergeCell ref="B46:G46"/>
    <mergeCell ref="G3:H3"/>
    <mergeCell ref="D42:E42"/>
    <mergeCell ref="B20:F20"/>
    <mergeCell ref="B34:F34"/>
    <mergeCell ref="H34:H37"/>
    <mergeCell ref="B1:F1"/>
    <mergeCell ref="E2:F2"/>
    <mergeCell ref="B8:E8"/>
    <mergeCell ref="H8:H10"/>
    <mergeCell ref="H11:H18"/>
    <mergeCell ref="B4:E4"/>
    <mergeCell ref="A8:A15"/>
    <mergeCell ref="A5:A7"/>
    <mergeCell ref="B64:G64"/>
    <mergeCell ref="A65:A68"/>
    <mergeCell ref="B54:C54"/>
    <mergeCell ref="B55:C55"/>
    <mergeCell ref="B56:C56"/>
    <mergeCell ref="B57:C57"/>
    <mergeCell ref="A47:A54"/>
    <mergeCell ref="B49:C49"/>
    <mergeCell ref="B50:C50"/>
    <mergeCell ref="B51:C51"/>
    <mergeCell ref="B52:C52"/>
    <mergeCell ref="B53:C53"/>
    <mergeCell ref="A20:A30"/>
    <mergeCell ref="A34:A41"/>
  </mergeCells>
  <pageMargins left="0.70866141732283472" right="0.70866141732283472" top="0.74803149606299213" bottom="0.74803149606299213" header="0.31496062992125984" footer="0.31496062992125984"/>
  <pageSetup paperSize="9" scale="75" orientation="portrait" horizontalDpi="4294967294" verticalDpi="4294967294"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AB7F9313DD740D408E85C7C34F885743" ma:contentTypeVersion="1" ma:contentTypeDescription="צור מסמך חדש." ma:contentTypeScope="" ma:versionID="0140af33c962423c15758b935bb84af3">
  <xsd:schema xmlns:xsd="http://www.w3.org/2001/XMLSchema" xmlns:xs="http://www.w3.org/2001/XMLSchema" xmlns:p="http://schemas.microsoft.com/office/2006/metadata/properties" xmlns:ns2="605e85f2-268e-450d-9afb-d305d42b267e" targetNamespace="http://schemas.microsoft.com/office/2006/metadata/properties" ma:root="true" ma:fieldsID="eb755af31613f7626be265d903e06d60" ns2:_="">
    <xsd:import namespace="605e85f2-268e-450d-9afb-d305d42b267e"/>
    <xsd:element name="properties">
      <xsd:complexType>
        <xsd:sequence>
          <xsd:element name="documentManagement">
            <xsd:complexType>
              <xsd:all>
                <xsd:element ref="ns2:GovXMainTit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5e85f2-268e-450d-9afb-d305d42b267e" elementFormDefault="qualified">
    <xsd:import namespace="http://schemas.microsoft.com/office/2006/documentManagement/types"/>
    <xsd:import namespace="http://schemas.microsoft.com/office/infopath/2007/PartnerControls"/>
    <xsd:element name="GovXMainTitle" ma:index="8" nillable="true" ma:displayName="GovXMainTitle" ma:internalName="GovXMainTitl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ovXMainTitle xmlns="605e85f2-268e-450d-9afb-d305d42b267e">טופס הצעת מחיר - אשכולות</GovXMainTitle>
  </documentManagement>
</p:properties>
</file>

<file path=customXml/itemProps1.xml><?xml version="1.0" encoding="utf-8"?>
<ds:datastoreItem xmlns:ds="http://schemas.openxmlformats.org/officeDocument/2006/customXml" ds:itemID="{24F7D0CD-097E-468F-8F55-36F048CAA6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5e85f2-268e-450d-9afb-d305d42b26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61D8DF-AEF2-4B18-8A12-AC821AB28CAE}">
  <ds:schemaRefs>
    <ds:schemaRef ds:uri="http://schemas.microsoft.com/sharepoint/v3/contenttype/forms"/>
  </ds:schemaRefs>
</ds:datastoreItem>
</file>

<file path=customXml/itemProps3.xml><?xml version="1.0" encoding="utf-8"?>
<ds:datastoreItem xmlns:ds="http://schemas.openxmlformats.org/officeDocument/2006/customXml" ds:itemID="{F08CA2D8-DE1C-4D1B-9AB3-9BC8C1FFC0AC}">
  <ds:schemaRefs>
    <ds:schemaRef ds:uri="http://schemas.microsoft.com/office/2006/metadata/properties"/>
    <ds:schemaRef ds:uri="http://purl.org/dc/elements/1.1/"/>
    <ds:schemaRef ds:uri="605e85f2-268e-450d-9afb-d305d42b267e"/>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3</vt:i4>
      </vt:variant>
    </vt:vector>
  </HeadingPairs>
  <TitlesOfParts>
    <vt:vector size="5" baseType="lpstr">
      <vt:lpstr>תיק קליני</vt:lpstr>
      <vt:lpstr>דימות - הצעה כלכלית</vt:lpstr>
      <vt:lpstr>'דימות - הצעה כלכלית'!WPrint_Area_W</vt:lpstr>
      <vt:lpstr>'תיק קליני'!WPrint_Area_W</vt:lpstr>
      <vt:lpstr>'תיק קליני'!WPrint_TitlesW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טופס הצעת מחיר - אשכולות</dc:title>
  <dc:creator>צבי סחייק</dc:creator>
  <cp:lastModifiedBy>ברוך פיש</cp:lastModifiedBy>
  <cp:lastPrinted>2016-07-05T11:56:34Z</cp:lastPrinted>
  <dcterms:created xsi:type="dcterms:W3CDTF">2016-06-30T09:13:49Z</dcterms:created>
  <dcterms:modified xsi:type="dcterms:W3CDTF">2023-06-26T06:34:37Z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0x010100AB7F9313DD740D408E85C7C34F885743</vt:lpwstr>
  </property>
</Properties>
</file>